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9300" activeTab="0"/>
  </bookViews>
  <sheets>
    <sheet name="TFOV_Sheet" sheetId="1" r:id="rId1"/>
    <sheet name="Useful Mags" sheetId="2" r:id="rId2"/>
    <sheet name="Sheet3" sheetId="3" r:id="rId3"/>
  </sheets>
  <definedNames>
    <definedName name="_xlnm._FilterDatabase" localSheetId="0" hidden="1">'TFOV_Sheet'!$A$1:$AD$1</definedName>
    <definedName name="_xlnm.Print_Area" localSheetId="0">'TFOV_Sheet'!$A$1:$AD$33</definedName>
  </definedNames>
  <calcPr fullCalcOnLoad="1"/>
</workbook>
</file>

<file path=xl/sharedStrings.xml><?xml version="1.0" encoding="utf-8"?>
<sst xmlns="http://schemas.openxmlformats.org/spreadsheetml/2006/main" count="96" uniqueCount="60">
  <si>
    <t>Eyepiece focal length mm</t>
  </si>
  <si>
    <t>Physical width of AFOV at focal plane in mm</t>
  </si>
  <si>
    <t>tangent of AFOV</t>
  </si>
  <si>
    <t>Radians of tan AFOV</t>
  </si>
  <si>
    <t>AFOV (dec_degrees)</t>
  </si>
  <si>
    <t>Comments</t>
  </si>
  <si>
    <t>Linear scale in graduated reticule</t>
  </si>
  <si>
    <t>Telescope_fl_mm</t>
  </si>
  <si>
    <t>Magnification</t>
  </si>
  <si>
    <t>TFOV arc_min</t>
  </si>
  <si>
    <t>TFOV dec_degs</t>
  </si>
  <si>
    <t>TFOV arc_sec</t>
  </si>
  <si>
    <t>Barlow</t>
  </si>
  <si>
    <t>AFOV of graduated reticule in 50 parts</t>
  </si>
  <si>
    <t>Scope</t>
  </si>
  <si>
    <t>Low-quality refractor lens</t>
  </si>
  <si>
    <t>AFOV lunar linear size at perigee (356375km) at mag.</t>
  </si>
  <si>
    <t>AFOV lunar linear size at mean (384401km) at mag.</t>
  </si>
  <si>
    <t>AFOV lunar linear size at apogee (406720km) at mag.</t>
  </si>
  <si>
    <t>Aperature_mm</t>
  </si>
  <si>
    <t>Aperature_in</t>
  </si>
  <si>
    <t>Mag/inch</t>
  </si>
  <si>
    <t>Low</t>
  </si>
  <si>
    <t>Medium</t>
  </si>
  <si>
    <t>High</t>
  </si>
  <si>
    <t>Extreme</t>
  </si>
  <si>
    <t>Empty</t>
  </si>
  <si>
    <t>Used For</t>
  </si>
  <si>
    <t>Useful Mag Description</t>
  </si>
  <si>
    <t>High Exit Pupil mm</t>
  </si>
  <si>
    <t>Low Exit Pupil mm</t>
  </si>
  <si>
    <t>High Mag Per Inch</t>
  </si>
  <si>
    <t>Low Mag Per Inch</t>
  </si>
  <si>
    <t>Notes: </t>
  </si>
  <si>
    <t xml:space="preserve">Source: </t>
  </si>
  <si>
    <t>Start points of each interval modified to provide consistent intervals</t>
  </si>
  <si>
    <t>Large angular size objects</t>
  </si>
  <si>
    <t>Small clusters and galaxies</t>
  </si>
  <si>
    <t>Specific planetary lunar detail</t>
  </si>
  <si>
    <t>Planetary and lunar details</t>
  </si>
  <si>
    <t>Double stars</t>
  </si>
  <si>
    <t>Nearly useless</t>
  </si>
  <si>
    <t>Direct projection astrophotography</t>
  </si>
  <si>
    <t>N/a</t>
  </si>
  <si>
    <t>Very low</t>
  </si>
  <si>
    <t>Very high</t>
  </si>
  <si>
    <t xml:space="preserve">Adapted from Knisely's Useful Magnifications from From D. Knisely, 5/14/2004 sci.astro.amateur Usenet post, Thread, "Eyepiece Advice"     </t>
  </si>
  <si>
    <t>Lookup Array</t>
  </si>
  <si>
    <t>Mag type</t>
  </si>
  <si>
    <t>Used for</t>
  </si>
  <si>
    <t>Moon_dia_km</t>
  </si>
  <si>
    <t>1.4*Rayleigh_limit_arcsec_138/Dmm</t>
  </si>
  <si>
    <t>Dawes_limit_arcsec_116/Dmm</t>
  </si>
  <si>
    <t>Smallest resolvable linear detail lunar perigee  (356375km)</t>
  </si>
  <si>
    <t>Smallest resolvable linear detail in km at mean lunar distance (384401km)</t>
  </si>
  <si>
    <t>Smallest resolvable linear detail in km at lunar apogee (406720km)</t>
  </si>
  <si>
    <t>Smallest resolvable linear lunar detail in km min (Dawes*3.86)</t>
  </si>
  <si>
    <t>Smallest resolvable linear lunar detail in km highbound (Dawes*3.86*2)</t>
  </si>
  <si>
    <t>Percent of AFOV linear size to Moon dia</t>
  </si>
  <si>
    <t>Ealing 16" F/12.7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</si>
</sst>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9" fontId="1" fillId="0" borderId="0" xfId="0" applyNumberFormat="1" applyFont="1" applyAlignment="1">
      <alignment wrapText="1"/>
    </xf>
    <xf numFmtId="9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9.140625" style="2" customWidth="1"/>
    <col min="3" max="3" width="9.00390625" style="2" hidden="1" customWidth="1"/>
    <col min="4" max="4" width="12.28125" style="0" customWidth="1"/>
    <col min="5" max="5" width="6.8515625" style="0" customWidth="1"/>
    <col min="6" max="8" width="0" style="0" hidden="1" customWidth="1"/>
    <col min="9" max="9" width="13.00390625" style="0" hidden="1" customWidth="1"/>
    <col min="10" max="10" width="0" style="0" hidden="1" customWidth="1"/>
    <col min="11" max="11" width="12.140625" style="2" customWidth="1"/>
    <col min="12" max="12" width="0" style="14" hidden="1" customWidth="1"/>
    <col min="13" max="13" width="0" style="2" hidden="1" customWidth="1"/>
    <col min="14" max="14" width="9.140625" style="2" customWidth="1"/>
    <col min="15" max="15" width="11.140625" style="1" hidden="1" customWidth="1"/>
    <col min="16" max="16" width="10.140625" style="1" hidden="1" customWidth="1"/>
    <col min="17" max="17" width="7.8515625" style="2" customWidth="1"/>
    <col min="18" max="18" width="8.8515625" style="1" bestFit="1" customWidth="1"/>
    <col min="19" max="19" width="30.00390625" style="1" bestFit="1" customWidth="1"/>
    <col min="20" max="20" width="33.421875" style="0" hidden="1" customWidth="1"/>
    <col min="21" max="21" width="6.8515625" style="2" customWidth="1"/>
    <col min="22" max="22" width="10.7109375" style="2" customWidth="1"/>
    <col min="23" max="23" width="9.8515625" style="0" customWidth="1"/>
    <col min="24" max="24" width="9.8515625" style="12" customWidth="1"/>
    <col min="25" max="25" width="10.00390625" style="0" customWidth="1"/>
    <col min="26" max="27" width="10.8515625" style="0" customWidth="1"/>
    <col min="28" max="28" width="10.57421875" style="1" customWidth="1"/>
    <col min="29" max="29" width="9.7109375" style="1" customWidth="1"/>
    <col min="30" max="30" width="9.8515625" style="1" customWidth="1"/>
  </cols>
  <sheetData>
    <row r="1" spans="1:30" s="3" customFormat="1" ht="112.5">
      <c r="A1" s="3" t="s">
        <v>14</v>
      </c>
      <c r="B1" s="5" t="s">
        <v>19</v>
      </c>
      <c r="C1" s="5" t="s">
        <v>20</v>
      </c>
      <c r="D1" s="3" t="s">
        <v>0</v>
      </c>
      <c r="E1" s="3" t="s">
        <v>12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7</v>
      </c>
      <c r="K1" s="5" t="s">
        <v>8</v>
      </c>
      <c r="L1" s="13" t="s">
        <v>10</v>
      </c>
      <c r="M1" s="5" t="s">
        <v>9</v>
      </c>
      <c r="N1" s="5" t="s">
        <v>11</v>
      </c>
      <c r="O1" s="4" t="s">
        <v>52</v>
      </c>
      <c r="P1" s="4" t="s">
        <v>51</v>
      </c>
      <c r="Q1" s="5" t="s">
        <v>21</v>
      </c>
      <c r="R1" s="4" t="s">
        <v>48</v>
      </c>
      <c r="S1" s="4" t="s">
        <v>49</v>
      </c>
      <c r="T1" s="3" t="s">
        <v>5</v>
      </c>
      <c r="U1" s="5" t="s">
        <v>50</v>
      </c>
      <c r="V1" s="5" t="s">
        <v>16</v>
      </c>
      <c r="W1" s="3" t="s">
        <v>17</v>
      </c>
      <c r="X1" s="11" t="s">
        <v>58</v>
      </c>
      <c r="Y1" s="3" t="s">
        <v>18</v>
      </c>
      <c r="Z1" s="3" t="s">
        <v>56</v>
      </c>
      <c r="AA1" s="3" t="s">
        <v>57</v>
      </c>
      <c r="AB1" s="4" t="s">
        <v>53</v>
      </c>
      <c r="AC1" s="4" t="s">
        <v>54</v>
      </c>
      <c r="AD1" s="4" t="s">
        <v>55</v>
      </c>
    </row>
    <row r="2" spans="1:30" ht="12.75">
      <c r="A2" s="6" t="s">
        <v>59</v>
      </c>
      <c r="B2" s="15">
        <v>400</v>
      </c>
      <c r="C2" s="15">
        <f>+B2/25.4</f>
        <v>15.748031496062993</v>
      </c>
      <c r="D2" s="7">
        <v>40</v>
      </c>
      <c r="E2" s="7">
        <v>1</v>
      </c>
      <c r="F2" s="7">
        <v>24</v>
      </c>
      <c r="G2" s="7">
        <f>+(F2/2)/D2</f>
        <v>0.3</v>
      </c>
      <c r="H2" s="7">
        <f>+G2*PI()/2</f>
        <v>0.47123889803846897</v>
      </c>
      <c r="I2" s="7">
        <f>2*DEGREES(H2)</f>
        <v>54</v>
      </c>
      <c r="J2" s="7">
        <v>5080</v>
      </c>
      <c r="K2" s="15">
        <f>+E2*(J2/D2)</f>
        <v>127</v>
      </c>
      <c r="L2" s="16">
        <f>+I2/K2</f>
        <v>0.4251968503937008</v>
      </c>
      <c r="M2" s="15">
        <f aca="true" t="shared" si="0" ref="M2:N31">+L2*60</f>
        <v>25.511811023622048</v>
      </c>
      <c r="N2" s="15">
        <f t="shared" si="0"/>
        <v>1530.708661417323</v>
      </c>
      <c r="O2" s="8">
        <f aca="true" t="shared" si="1" ref="O2:O31">116/B2</f>
        <v>0.29</v>
      </c>
      <c r="P2" s="8">
        <f aca="true" t="shared" si="2" ref="P2:P31">1.4*(138/B2)</f>
        <v>0.48299999999999993</v>
      </c>
      <c r="Q2" s="8">
        <f aca="true" t="shared" si="3" ref="Q2:Q31">+K2/C2</f>
        <v>8.064499999999999</v>
      </c>
      <c r="R2" s="8" t="str">
        <f>LOOKUP(Q2,'Useful Mags'!L$2:M$8)</f>
        <v>Low</v>
      </c>
      <c r="S2" s="8" t="str">
        <f>LOOKUP(Q2,'Useful Mags'!N$2:O$8)</f>
        <v>Large angular size objects</v>
      </c>
      <c r="U2" s="2">
        <v>3476</v>
      </c>
      <c r="V2" s="2">
        <f aca="true" t="shared" si="4" ref="V2:V31">TAN(RADIANS($L2))*356375</f>
        <v>2644.7377208503467</v>
      </c>
      <c r="W2" s="2">
        <f aca="true" t="shared" si="5" ref="W2:W31">TAN(RADIANS($L2))*384401</f>
        <v>2852.7248674362518</v>
      </c>
      <c r="X2" s="12">
        <f>+W2/U2</f>
        <v>0.8206918490898307</v>
      </c>
      <c r="Y2" s="2">
        <f aca="true" t="shared" si="6" ref="Y2:Y31">TAN(RADIANS($L2))*406720</f>
        <v>3018.3591043823308</v>
      </c>
      <c r="Z2" s="2">
        <f>+O2*3.86</f>
        <v>1.1194</v>
      </c>
      <c r="AA2" s="2">
        <f aca="true" t="shared" si="7" ref="AA2:AA31">+Z2*2</f>
        <v>2.2388</v>
      </c>
      <c r="AB2" s="1">
        <f>TAN(RADIANS(P2)/3600)*356375</f>
        <v>0.8345055471756597</v>
      </c>
      <c r="AC2" s="1">
        <f aca="true" t="shared" si="8" ref="AC2:AC31">TAN(RADIANS($P2)/3600)*384401</f>
        <v>0.900132632311107</v>
      </c>
      <c r="AD2" s="1">
        <f aca="true" t="shared" si="9" ref="AD2:AD31">TAN(RADIANS($P2)/3600)*406720</f>
        <v>0.9523959204413449</v>
      </c>
    </row>
    <row r="3" spans="1:30" ht="12.75">
      <c r="A3" s="6" t="s">
        <v>59</v>
      </c>
      <c r="B3" s="15">
        <v>400</v>
      </c>
      <c r="C3" s="15">
        <f>+B3/25.4</f>
        <v>15.748031496062993</v>
      </c>
      <c r="D3" s="7">
        <v>32</v>
      </c>
      <c r="E3" s="7">
        <v>1</v>
      </c>
      <c r="F3" s="7"/>
      <c r="G3" s="7"/>
      <c r="H3" s="7"/>
      <c r="I3" s="7">
        <v>52</v>
      </c>
      <c r="J3" s="7">
        <v>5080</v>
      </c>
      <c r="K3" s="15">
        <f>+E3*(J3/D3)</f>
        <v>158.75</v>
      </c>
      <c r="L3" s="16">
        <f>+I3/K3</f>
        <v>0.32755905511811023</v>
      </c>
      <c r="M3" s="15">
        <f t="shared" si="0"/>
        <v>19.653543307086615</v>
      </c>
      <c r="N3" s="15">
        <f t="shared" si="0"/>
        <v>1179.2125984251968</v>
      </c>
      <c r="O3" s="8">
        <f t="shared" si="1"/>
        <v>0.29</v>
      </c>
      <c r="P3" s="8">
        <f t="shared" si="2"/>
        <v>0.48299999999999993</v>
      </c>
      <c r="Q3" s="8">
        <f t="shared" si="3"/>
        <v>10.080625</v>
      </c>
      <c r="R3" s="8" t="str">
        <f>LOOKUP(Q3,'Useful Mags'!L$2:M$8)</f>
        <v>Medium</v>
      </c>
      <c r="S3" s="8" t="str">
        <f>LOOKUP(Q3,'Useful Mags'!N$2:O$8)</f>
        <v>Small clusters and galaxies</v>
      </c>
      <c r="U3" s="2">
        <v>3476</v>
      </c>
      <c r="V3" s="2">
        <f t="shared" si="4"/>
        <v>2037.4123722413312</v>
      </c>
      <c r="W3" s="2">
        <f t="shared" si="5"/>
        <v>2197.638311615405</v>
      </c>
      <c r="X3" s="12">
        <f aca="true" t="shared" si="10" ref="X3:X31">+W3/U3</f>
        <v>0.6322319653669175</v>
      </c>
      <c r="Y3" s="2">
        <f t="shared" si="6"/>
        <v>2325.2370678021584</v>
      </c>
      <c r="Z3" s="2">
        <f aca="true" t="shared" si="11" ref="Z3:Z31">+O3*3.86</f>
        <v>1.1194</v>
      </c>
      <c r="AA3" s="2">
        <f t="shared" si="7"/>
        <v>2.2388</v>
      </c>
      <c r="AB3" s="1">
        <f aca="true" t="shared" si="12" ref="AB3:AB31">TAN(RADIANS(P3)/3600)*356375</f>
        <v>0.8345055471756597</v>
      </c>
      <c r="AC3" s="1">
        <f t="shared" si="8"/>
        <v>0.900132632311107</v>
      </c>
      <c r="AD3" s="1">
        <f t="shared" si="9"/>
        <v>0.9523959204413449</v>
      </c>
    </row>
    <row r="4" spans="1:30" ht="12.75">
      <c r="A4" s="6" t="s">
        <v>59</v>
      </c>
      <c r="B4" s="15">
        <v>400</v>
      </c>
      <c r="C4" s="15">
        <f>+B4/25.4</f>
        <v>15.748031496062993</v>
      </c>
      <c r="D4" s="7">
        <v>40</v>
      </c>
      <c r="E4" s="7">
        <v>2</v>
      </c>
      <c r="F4" s="7">
        <v>24</v>
      </c>
      <c r="G4" s="7">
        <f>+(F4/2)/D4</f>
        <v>0.3</v>
      </c>
      <c r="H4" s="7">
        <f>+G4*PI()/2</f>
        <v>0.47123889803846897</v>
      </c>
      <c r="I4" s="7">
        <f>2*DEGREES(H4)</f>
        <v>54</v>
      </c>
      <c r="J4" s="7">
        <v>5080</v>
      </c>
      <c r="K4" s="15">
        <f>+E4*(J4/D4)</f>
        <v>254</v>
      </c>
      <c r="L4" s="16">
        <f>+I4/K4</f>
        <v>0.2125984251968504</v>
      </c>
      <c r="M4" s="15">
        <f t="shared" si="0"/>
        <v>12.755905511811024</v>
      </c>
      <c r="N4" s="15">
        <f t="shared" si="0"/>
        <v>765.3543307086615</v>
      </c>
      <c r="O4" s="8">
        <f t="shared" si="1"/>
        <v>0.29</v>
      </c>
      <c r="P4" s="8">
        <f t="shared" si="2"/>
        <v>0.48299999999999993</v>
      </c>
      <c r="Q4" s="8">
        <f t="shared" si="3"/>
        <v>16.128999999999998</v>
      </c>
      <c r="R4" s="8" t="str">
        <f>LOOKUP(Q4,'Useful Mags'!L$2:M$8)</f>
        <v>Medium</v>
      </c>
      <c r="S4" s="8" t="str">
        <f>LOOKUP(Q4,'Useful Mags'!N$2:O$8)</f>
        <v>Small clusters and galaxies</v>
      </c>
      <c r="U4" s="2">
        <v>3476</v>
      </c>
      <c r="V4" s="2">
        <f t="shared" si="4"/>
        <v>1322.3506537173987</v>
      </c>
      <c r="W4" s="2">
        <f t="shared" si="5"/>
        <v>1426.3427952006225</v>
      </c>
      <c r="X4" s="12">
        <f t="shared" si="10"/>
        <v>0.4103402747987982</v>
      </c>
      <c r="Y4" s="2">
        <f t="shared" si="6"/>
        <v>1509.1587734267007</v>
      </c>
      <c r="Z4" s="2">
        <f t="shared" si="11"/>
        <v>1.1194</v>
      </c>
      <c r="AA4" s="2">
        <f t="shared" si="7"/>
        <v>2.2388</v>
      </c>
      <c r="AB4" s="1">
        <f t="shared" si="12"/>
        <v>0.8345055471756597</v>
      </c>
      <c r="AC4" s="1">
        <f t="shared" si="8"/>
        <v>0.900132632311107</v>
      </c>
      <c r="AD4" s="1">
        <f t="shared" si="9"/>
        <v>0.9523959204413449</v>
      </c>
    </row>
    <row r="5" spans="1:30" ht="12.75">
      <c r="A5" s="6" t="s">
        <v>59</v>
      </c>
      <c r="B5" s="15">
        <v>400</v>
      </c>
      <c r="C5" s="15">
        <f>+B5/25.4</f>
        <v>15.748031496062993</v>
      </c>
      <c r="D5" s="7">
        <v>20</v>
      </c>
      <c r="E5" s="7">
        <v>1</v>
      </c>
      <c r="F5" s="7"/>
      <c r="G5" s="7"/>
      <c r="H5" s="7"/>
      <c r="I5" s="7">
        <v>52</v>
      </c>
      <c r="J5" s="7">
        <v>5080</v>
      </c>
      <c r="K5" s="15">
        <f>+E5*(J5/D5)</f>
        <v>254</v>
      </c>
      <c r="L5" s="16">
        <f>+I5/K5</f>
        <v>0.2047244094488189</v>
      </c>
      <c r="M5" s="15">
        <f t="shared" si="0"/>
        <v>12.283464566929133</v>
      </c>
      <c r="N5" s="15">
        <f t="shared" si="0"/>
        <v>737.007874015748</v>
      </c>
      <c r="O5" s="8">
        <f t="shared" si="1"/>
        <v>0.29</v>
      </c>
      <c r="P5" s="8">
        <f t="shared" si="2"/>
        <v>0.48299999999999993</v>
      </c>
      <c r="Q5" s="8">
        <f t="shared" si="3"/>
        <v>16.128999999999998</v>
      </c>
      <c r="R5" s="8" t="str">
        <f>LOOKUP(Q5,'Useful Mags'!L$2:M$8)</f>
        <v>Medium</v>
      </c>
      <c r="S5" s="8" t="str">
        <f>LOOKUP(Q5,'Useful Mags'!N$2:O$8)</f>
        <v>Small clusters and galaxies</v>
      </c>
      <c r="U5" s="2">
        <v>3476</v>
      </c>
      <c r="V5" s="2">
        <f t="shared" si="4"/>
        <v>1273.3742787051428</v>
      </c>
      <c r="W5" s="2">
        <f t="shared" si="5"/>
        <v>1373.514825979756</v>
      </c>
      <c r="X5" s="12">
        <f t="shared" si="10"/>
        <v>0.39514235499992983</v>
      </c>
      <c r="Y5" s="2">
        <f t="shared" si="6"/>
        <v>1453.2635191440356</v>
      </c>
      <c r="Z5" s="2">
        <f t="shared" si="11"/>
        <v>1.1194</v>
      </c>
      <c r="AA5" s="2">
        <f t="shared" si="7"/>
        <v>2.2388</v>
      </c>
      <c r="AB5" s="1">
        <f t="shared" si="12"/>
        <v>0.8345055471756597</v>
      </c>
      <c r="AC5" s="1">
        <f t="shared" si="8"/>
        <v>0.900132632311107</v>
      </c>
      <c r="AD5" s="1">
        <f t="shared" si="9"/>
        <v>0.9523959204413449</v>
      </c>
    </row>
    <row r="6" spans="1:30" ht="12.75">
      <c r="A6" s="6" t="s">
        <v>59</v>
      </c>
      <c r="B6" s="15">
        <v>400</v>
      </c>
      <c r="C6" s="15">
        <f aca="true" t="shared" si="13" ref="C6:C31">+B6/25.4</f>
        <v>15.748031496062993</v>
      </c>
      <c r="D6" s="7">
        <v>32</v>
      </c>
      <c r="E6" s="7">
        <v>2</v>
      </c>
      <c r="F6" s="7"/>
      <c r="G6" s="7"/>
      <c r="H6" s="7"/>
      <c r="I6" s="7">
        <v>52</v>
      </c>
      <c r="J6" s="7">
        <v>5080</v>
      </c>
      <c r="K6" s="15">
        <f>+E6*(J6/D6)</f>
        <v>317.5</v>
      </c>
      <c r="L6" s="16">
        <f>+I6/K6</f>
        <v>0.16377952755905512</v>
      </c>
      <c r="M6" s="15">
        <f t="shared" si="0"/>
        <v>9.826771653543307</v>
      </c>
      <c r="N6" s="15">
        <f t="shared" si="0"/>
        <v>589.6062992125984</v>
      </c>
      <c r="O6" s="8">
        <f t="shared" si="1"/>
        <v>0.29</v>
      </c>
      <c r="P6" s="8">
        <f t="shared" si="2"/>
        <v>0.48299999999999993</v>
      </c>
      <c r="Q6" s="8">
        <f t="shared" si="3"/>
        <v>20.16125</v>
      </c>
      <c r="R6" s="8" t="str">
        <f>LOOKUP(Q6,'Useful Mags'!L$2:M$8)</f>
        <v>High</v>
      </c>
      <c r="S6" s="8" t="str">
        <f>LOOKUP(Q6,'Useful Mags'!N$2:O$8)</f>
        <v>Planetary and lunar details</v>
      </c>
      <c r="U6" s="2">
        <v>3476</v>
      </c>
      <c r="V6" s="2">
        <f t="shared" si="4"/>
        <v>1018.6978622509823</v>
      </c>
      <c r="W6" s="2">
        <f t="shared" si="5"/>
        <v>1098.810177333258</v>
      </c>
      <c r="X6" s="12">
        <f t="shared" si="10"/>
        <v>0.3161133996931122</v>
      </c>
      <c r="Y6" s="2">
        <f t="shared" si="6"/>
        <v>1162.6090341205738</v>
      </c>
      <c r="Z6" s="2">
        <f t="shared" si="11"/>
        <v>1.1194</v>
      </c>
      <c r="AA6" s="2">
        <f t="shared" si="7"/>
        <v>2.2388</v>
      </c>
      <c r="AB6" s="1">
        <f t="shared" si="12"/>
        <v>0.8345055471756597</v>
      </c>
      <c r="AC6" s="1">
        <f t="shared" si="8"/>
        <v>0.900132632311107</v>
      </c>
      <c r="AD6" s="1">
        <f t="shared" si="9"/>
        <v>0.9523959204413449</v>
      </c>
    </row>
    <row r="7" spans="1:30" ht="12.75">
      <c r="A7" s="6" t="s">
        <v>59</v>
      </c>
      <c r="B7" s="15">
        <v>400</v>
      </c>
      <c r="C7" s="15">
        <f t="shared" si="13"/>
        <v>15.748031496062993</v>
      </c>
      <c r="D7" s="7">
        <v>15</v>
      </c>
      <c r="E7" s="7">
        <v>1</v>
      </c>
      <c r="F7" s="7"/>
      <c r="G7" s="7"/>
      <c r="H7" s="7"/>
      <c r="I7" s="7">
        <v>52</v>
      </c>
      <c r="J7" s="7">
        <v>5080</v>
      </c>
      <c r="K7" s="15">
        <f aca="true" t="shared" si="14" ref="K7:K31">+E7*(J7/D7)</f>
        <v>338.6666666666667</v>
      </c>
      <c r="L7" s="16">
        <f aca="true" t="shared" si="15" ref="L7:L31">+I7/K7</f>
        <v>0.15354330708661418</v>
      </c>
      <c r="M7" s="15">
        <f t="shared" si="0"/>
        <v>9.21259842519685</v>
      </c>
      <c r="N7" s="15">
        <f t="shared" si="0"/>
        <v>552.755905511811</v>
      </c>
      <c r="O7" s="8">
        <f t="shared" si="1"/>
        <v>0.29</v>
      </c>
      <c r="P7" s="8">
        <f t="shared" si="2"/>
        <v>0.48299999999999993</v>
      </c>
      <c r="Q7" s="8">
        <f t="shared" si="3"/>
        <v>21.505333333333333</v>
      </c>
      <c r="R7" s="8" t="str">
        <f>LOOKUP(Q7,'Useful Mags'!L$2:M$8)</f>
        <v>High</v>
      </c>
      <c r="S7" s="8" t="str">
        <f>LOOKUP(Q7,'Useful Mags'!N$2:O$8)</f>
        <v>Planetary and lunar details</v>
      </c>
      <c r="U7" s="2">
        <v>3476</v>
      </c>
      <c r="V7" s="2">
        <f t="shared" si="4"/>
        <v>955.0289308733235</v>
      </c>
      <c r="W7" s="2">
        <f t="shared" si="5"/>
        <v>1030.1342014917893</v>
      </c>
      <c r="X7" s="12">
        <f t="shared" si="10"/>
        <v>0.2963562144682938</v>
      </c>
      <c r="Y7" s="2">
        <f t="shared" si="6"/>
        <v>1089.945610002941</v>
      </c>
      <c r="Z7" s="2">
        <f t="shared" si="11"/>
        <v>1.1194</v>
      </c>
      <c r="AA7" s="2">
        <f t="shared" si="7"/>
        <v>2.2388</v>
      </c>
      <c r="AB7" s="1">
        <f t="shared" si="12"/>
        <v>0.8345055471756597</v>
      </c>
      <c r="AC7" s="1">
        <f t="shared" si="8"/>
        <v>0.900132632311107</v>
      </c>
      <c r="AD7" s="1">
        <f t="shared" si="9"/>
        <v>0.9523959204413449</v>
      </c>
    </row>
    <row r="8" spans="1:30" ht="12.75">
      <c r="A8" s="6" t="s">
        <v>59</v>
      </c>
      <c r="B8" s="15">
        <v>400</v>
      </c>
      <c r="C8" s="15">
        <f t="shared" si="13"/>
        <v>15.748031496062993</v>
      </c>
      <c r="D8" s="7">
        <v>40</v>
      </c>
      <c r="E8" s="7">
        <v>3</v>
      </c>
      <c r="F8" s="7">
        <v>24</v>
      </c>
      <c r="G8" s="7">
        <f>+(F8/2)/D8</f>
        <v>0.3</v>
      </c>
      <c r="H8" s="7">
        <f>+G8*PI()/2</f>
        <v>0.47123889803846897</v>
      </c>
      <c r="I8" s="7">
        <f>2*DEGREES(H8)</f>
        <v>54</v>
      </c>
      <c r="J8" s="7">
        <v>5080</v>
      </c>
      <c r="K8" s="15">
        <f t="shared" si="14"/>
        <v>381</v>
      </c>
      <c r="L8" s="16">
        <f t="shared" si="15"/>
        <v>0.14173228346456693</v>
      </c>
      <c r="M8" s="15">
        <f t="shared" si="0"/>
        <v>8.503937007874015</v>
      </c>
      <c r="N8" s="15">
        <f t="shared" si="0"/>
        <v>510.2362204724409</v>
      </c>
      <c r="O8" s="8">
        <f t="shared" si="1"/>
        <v>0.29</v>
      </c>
      <c r="P8" s="8">
        <f t="shared" si="2"/>
        <v>0.48299999999999993</v>
      </c>
      <c r="Q8" s="8">
        <f t="shared" si="3"/>
        <v>24.1935</v>
      </c>
      <c r="R8" s="8" t="str">
        <f>LOOKUP(Q8,'Useful Mags'!L$2:M$8)</f>
        <v>High</v>
      </c>
      <c r="S8" s="8" t="str">
        <f>LOOKUP(Q8,'Useful Mags'!N$2:O$8)</f>
        <v>Planetary and lunar details</v>
      </c>
      <c r="U8" s="2">
        <v>3476</v>
      </c>
      <c r="V8" s="2">
        <f t="shared" si="4"/>
        <v>881.5648547805793</v>
      </c>
      <c r="W8" s="2">
        <f t="shared" si="5"/>
        <v>950.8927723395565</v>
      </c>
      <c r="X8" s="12">
        <f t="shared" si="10"/>
        <v>0.27355948571333616</v>
      </c>
      <c r="Y8" s="2">
        <f t="shared" si="6"/>
        <v>1006.103283721802</v>
      </c>
      <c r="Z8" s="2">
        <f t="shared" si="11"/>
        <v>1.1194</v>
      </c>
      <c r="AA8" s="2">
        <f t="shared" si="7"/>
        <v>2.2388</v>
      </c>
      <c r="AB8" s="1">
        <f t="shared" si="12"/>
        <v>0.8345055471756597</v>
      </c>
      <c r="AC8" s="1">
        <f t="shared" si="8"/>
        <v>0.900132632311107</v>
      </c>
      <c r="AD8" s="1">
        <f t="shared" si="9"/>
        <v>0.9523959204413449</v>
      </c>
    </row>
    <row r="9" spans="1:30" ht="12.75">
      <c r="A9" s="6" t="s">
        <v>59</v>
      </c>
      <c r="B9" s="15">
        <v>400</v>
      </c>
      <c r="C9" s="15">
        <f t="shared" si="13"/>
        <v>15.748031496062993</v>
      </c>
      <c r="D9" s="7">
        <v>12</v>
      </c>
      <c r="E9" s="7">
        <v>1</v>
      </c>
      <c r="F9" s="7">
        <v>7</v>
      </c>
      <c r="G9" s="7">
        <f>+(F9/2)/D9</f>
        <v>0.2916666666666667</v>
      </c>
      <c r="H9" s="7">
        <f>+G9*PI()/2</f>
        <v>0.45814892864851153</v>
      </c>
      <c r="I9" s="7">
        <f>2*DEGREES(H9)</f>
        <v>52.50000000000001</v>
      </c>
      <c r="J9" s="7">
        <v>5080</v>
      </c>
      <c r="K9" s="15">
        <f t="shared" si="14"/>
        <v>423.3333333333333</v>
      </c>
      <c r="L9" s="16">
        <f t="shared" si="15"/>
        <v>0.12401574803149608</v>
      </c>
      <c r="M9" s="15">
        <f t="shared" si="0"/>
        <v>7.440944881889765</v>
      </c>
      <c r="N9" s="15">
        <f t="shared" si="0"/>
        <v>446.4566929133859</v>
      </c>
      <c r="O9" s="8">
        <f t="shared" si="1"/>
        <v>0.29</v>
      </c>
      <c r="P9" s="8">
        <f t="shared" si="2"/>
        <v>0.48299999999999993</v>
      </c>
      <c r="Q9" s="8">
        <f t="shared" si="3"/>
        <v>26.881666666666664</v>
      </c>
      <c r="R9" s="8" t="str">
        <f>LOOKUP(Q9,'Useful Mags'!L$2:M$8)</f>
        <v>High</v>
      </c>
      <c r="S9" s="8" t="str">
        <f>LOOKUP(Q9,'Useful Mags'!N$2:O$8)</f>
        <v>Planetary and lunar details</v>
      </c>
      <c r="T9" t="s">
        <v>13</v>
      </c>
      <c r="U9" s="2">
        <v>3476</v>
      </c>
      <c r="V9" s="2">
        <f t="shared" si="4"/>
        <v>771.3688791714449</v>
      </c>
      <c r="W9" s="2">
        <f t="shared" si="5"/>
        <v>832.0307780354475</v>
      </c>
      <c r="X9" s="12">
        <f t="shared" si="10"/>
        <v>0.23936443556831055</v>
      </c>
      <c r="Y9" s="2">
        <f t="shared" si="6"/>
        <v>880.3399524001686</v>
      </c>
      <c r="Z9" s="2">
        <f t="shared" si="11"/>
        <v>1.1194</v>
      </c>
      <c r="AA9" s="2">
        <f t="shared" si="7"/>
        <v>2.2388</v>
      </c>
      <c r="AB9" s="1">
        <f t="shared" si="12"/>
        <v>0.8345055471756597</v>
      </c>
      <c r="AC9" s="1">
        <f t="shared" si="8"/>
        <v>0.900132632311107</v>
      </c>
      <c r="AD9" s="1">
        <f t="shared" si="9"/>
        <v>0.9523959204413449</v>
      </c>
    </row>
    <row r="10" spans="1:30" ht="12.75">
      <c r="A10" s="6" t="s">
        <v>59</v>
      </c>
      <c r="B10" s="15">
        <v>400</v>
      </c>
      <c r="C10" s="15">
        <f t="shared" si="13"/>
        <v>15.748031496062993</v>
      </c>
      <c r="D10" s="7">
        <v>32</v>
      </c>
      <c r="E10" s="7">
        <v>3</v>
      </c>
      <c r="F10" s="7"/>
      <c r="G10" s="7"/>
      <c r="H10" s="7"/>
      <c r="I10" s="7">
        <v>52</v>
      </c>
      <c r="J10" s="7">
        <v>5080</v>
      </c>
      <c r="K10" s="15">
        <f t="shared" si="14"/>
        <v>476.25</v>
      </c>
      <c r="L10" s="16">
        <f t="shared" si="15"/>
        <v>0.10918635170603674</v>
      </c>
      <c r="M10" s="15">
        <f t="shared" si="0"/>
        <v>6.551181102362205</v>
      </c>
      <c r="N10" s="15">
        <f t="shared" si="0"/>
        <v>393.07086614173227</v>
      </c>
      <c r="O10" s="8">
        <f t="shared" si="1"/>
        <v>0.29</v>
      </c>
      <c r="P10" s="8">
        <f t="shared" si="2"/>
        <v>0.48299999999999993</v>
      </c>
      <c r="Q10" s="8">
        <f t="shared" si="3"/>
        <v>30.241875</v>
      </c>
      <c r="R10" s="8" t="str">
        <f>LOOKUP(Q10,'Useful Mags'!L$2:M$8)</f>
        <v>Very high</v>
      </c>
      <c r="S10" s="8" t="str">
        <f>LOOKUP(Q10,'Useful Mags'!N$2:O$8)</f>
        <v>Specific planetary lunar detail</v>
      </c>
      <c r="U10" s="2">
        <v>3476</v>
      </c>
      <c r="V10" s="2">
        <f t="shared" si="4"/>
        <v>679.1308805410313</v>
      </c>
      <c r="W10" s="2">
        <f t="shared" si="5"/>
        <v>732.5390097814184</v>
      </c>
      <c r="X10" s="12">
        <f t="shared" si="10"/>
        <v>0.21074194757808354</v>
      </c>
      <c r="Y10" s="2">
        <f t="shared" si="6"/>
        <v>775.0715166149372</v>
      </c>
      <c r="Z10" s="2">
        <f t="shared" si="11"/>
        <v>1.1194</v>
      </c>
      <c r="AA10" s="2">
        <f t="shared" si="7"/>
        <v>2.2388</v>
      </c>
      <c r="AB10" s="1">
        <f t="shared" si="12"/>
        <v>0.8345055471756597</v>
      </c>
      <c r="AC10" s="1">
        <f t="shared" si="8"/>
        <v>0.900132632311107</v>
      </c>
      <c r="AD10" s="1">
        <f t="shared" si="9"/>
        <v>0.9523959204413449</v>
      </c>
    </row>
    <row r="11" spans="1:30" ht="12.75">
      <c r="A11" s="6" t="s">
        <v>59</v>
      </c>
      <c r="B11" s="15">
        <v>400</v>
      </c>
      <c r="C11" s="15">
        <f t="shared" si="13"/>
        <v>15.748031496062993</v>
      </c>
      <c r="D11" s="7">
        <v>12</v>
      </c>
      <c r="E11" s="7">
        <v>1</v>
      </c>
      <c r="F11" s="7">
        <v>6</v>
      </c>
      <c r="G11" s="7">
        <f>+(F11/2)/D11</f>
        <v>0.25</v>
      </c>
      <c r="H11" s="7">
        <f>+G11*PI()/2</f>
        <v>0.39269908169872414</v>
      </c>
      <c r="I11" s="7">
        <f>2*DEGREES(H11)</f>
        <v>45</v>
      </c>
      <c r="J11" s="7">
        <v>5080</v>
      </c>
      <c r="K11" s="15">
        <f t="shared" si="14"/>
        <v>423.3333333333333</v>
      </c>
      <c r="L11" s="16">
        <f t="shared" si="15"/>
        <v>0.1062992125984252</v>
      </c>
      <c r="M11" s="15">
        <f t="shared" si="0"/>
        <v>6.377952755905512</v>
      </c>
      <c r="N11" s="15">
        <f t="shared" si="0"/>
        <v>382.6771653543307</v>
      </c>
      <c r="O11" s="8">
        <f t="shared" si="1"/>
        <v>0.29</v>
      </c>
      <c r="P11" s="8">
        <f t="shared" si="2"/>
        <v>0.48299999999999993</v>
      </c>
      <c r="Q11" s="8">
        <f t="shared" si="3"/>
        <v>26.881666666666664</v>
      </c>
      <c r="R11" s="8" t="str">
        <f>LOOKUP(Q11,'Useful Mags'!L$2:M$8)</f>
        <v>High</v>
      </c>
      <c r="S11" s="8" t="str">
        <f>LOOKUP(Q11,'Useful Mags'!N$2:O$8)</f>
        <v>Planetary and lunar details</v>
      </c>
      <c r="T11" t="s">
        <v>6</v>
      </c>
      <c r="U11" s="2">
        <v>3476</v>
      </c>
      <c r="V11" s="2">
        <f t="shared" si="4"/>
        <v>661.1730510672287</v>
      </c>
      <c r="W11" s="2">
        <f t="shared" si="5"/>
        <v>713.1689428363206</v>
      </c>
      <c r="X11" s="12">
        <f t="shared" si="10"/>
        <v>0.2051694311957194</v>
      </c>
      <c r="Y11" s="2">
        <f t="shared" si="6"/>
        <v>754.5767894214332</v>
      </c>
      <c r="Z11" s="2">
        <f t="shared" si="11"/>
        <v>1.1194</v>
      </c>
      <c r="AA11" s="2">
        <f t="shared" si="7"/>
        <v>2.2388</v>
      </c>
      <c r="AB11" s="1">
        <f t="shared" si="12"/>
        <v>0.8345055471756597</v>
      </c>
      <c r="AC11" s="1">
        <f t="shared" si="8"/>
        <v>0.900132632311107</v>
      </c>
      <c r="AD11" s="1">
        <f t="shared" si="9"/>
        <v>0.9523959204413449</v>
      </c>
    </row>
    <row r="12" spans="1:30" ht="12.75">
      <c r="A12" s="6" t="s">
        <v>59</v>
      </c>
      <c r="B12" s="15">
        <v>400</v>
      </c>
      <c r="C12" s="15">
        <f t="shared" si="13"/>
        <v>15.748031496062993</v>
      </c>
      <c r="D12" s="7">
        <v>20</v>
      </c>
      <c r="E12" s="7">
        <v>2</v>
      </c>
      <c r="F12" s="7"/>
      <c r="G12" s="7"/>
      <c r="H12" s="7"/>
      <c r="I12" s="7">
        <v>52</v>
      </c>
      <c r="J12" s="7">
        <v>5080</v>
      </c>
      <c r="K12" s="15">
        <f t="shared" si="14"/>
        <v>508</v>
      </c>
      <c r="L12" s="16">
        <f t="shared" si="15"/>
        <v>0.10236220472440945</v>
      </c>
      <c r="M12" s="15">
        <f t="shared" si="0"/>
        <v>6.141732283464567</v>
      </c>
      <c r="N12" s="15">
        <f t="shared" si="0"/>
        <v>368.503937007874</v>
      </c>
      <c r="O12" s="8">
        <f t="shared" si="1"/>
        <v>0.29</v>
      </c>
      <c r="P12" s="8">
        <f t="shared" si="2"/>
        <v>0.48299999999999993</v>
      </c>
      <c r="Q12" s="8">
        <f t="shared" si="3"/>
        <v>32.257999999999996</v>
      </c>
      <c r="R12" s="8" t="str">
        <f>LOOKUP(Q12,'Useful Mags'!L$2:M$8)</f>
        <v>Very high</v>
      </c>
      <c r="S12" s="8" t="str">
        <f>LOOKUP(Q12,'Useful Mags'!N$2:O$8)</f>
        <v>Specific planetary lunar detail</v>
      </c>
      <c r="U12" s="2">
        <v>3476</v>
      </c>
      <c r="V12" s="2">
        <f t="shared" si="4"/>
        <v>636.6851071780619</v>
      </c>
      <c r="W12" s="2">
        <f t="shared" si="5"/>
        <v>686.7552210013446</v>
      </c>
      <c r="X12" s="12">
        <f t="shared" si="10"/>
        <v>0.19757054689336725</v>
      </c>
      <c r="Y12" s="2">
        <f t="shared" si="6"/>
        <v>726.6294403127642</v>
      </c>
      <c r="Z12" s="2">
        <f t="shared" si="11"/>
        <v>1.1194</v>
      </c>
      <c r="AA12" s="2">
        <f t="shared" si="7"/>
        <v>2.2388</v>
      </c>
      <c r="AB12" s="1">
        <f t="shared" si="12"/>
        <v>0.8345055471756597</v>
      </c>
      <c r="AC12" s="1">
        <f t="shared" si="8"/>
        <v>0.900132632311107</v>
      </c>
      <c r="AD12" s="1">
        <f t="shared" si="9"/>
        <v>0.9523959204413449</v>
      </c>
    </row>
    <row r="13" spans="1:30" ht="12.75">
      <c r="A13" s="6" t="s">
        <v>59</v>
      </c>
      <c r="B13" s="15">
        <v>400</v>
      </c>
      <c r="C13" s="15">
        <f t="shared" si="13"/>
        <v>15.748031496062993</v>
      </c>
      <c r="D13" s="7">
        <v>9</v>
      </c>
      <c r="E13" s="7">
        <v>1</v>
      </c>
      <c r="F13" s="7"/>
      <c r="G13" s="7"/>
      <c r="H13" s="7"/>
      <c r="I13" s="7">
        <v>52</v>
      </c>
      <c r="J13" s="7">
        <v>5080</v>
      </c>
      <c r="K13" s="15">
        <f t="shared" si="14"/>
        <v>564.4444444444445</v>
      </c>
      <c r="L13" s="16">
        <f t="shared" si="15"/>
        <v>0.0921259842519685</v>
      </c>
      <c r="M13" s="15">
        <f t="shared" si="0"/>
        <v>5.527559055118109</v>
      </c>
      <c r="N13" s="15">
        <f t="shared" si="0"/>
        <v>331.6535433070866</v>
      </c>
      <c r="O13" s="8">
        <f t="shared" si="1"/>
        <v>0.29</v>
      </c>
      <c r="P13" s="8">
        <f t="shared" si="2"/>
        <v>0.48299999999999993</v>
      </c>
      <c r="Q13" s="8">
        <f t="shared" si="3"/>
        <v>35.84222222222222</v>
      </c>
      <c r="R13" s="8" t="str">
        <f>LOOKUP(Q13,'Useful Mags'!L$2:M$8)</f>
        <v>Very high</v>
      </c>
      <c r="S13" s="8" t="str">
        <f>LOOKUP(Q13,'Useful Mags'!N$2:O$8)</f>
        <v>Specific planetary lunar detail</v>
      </c>
      <c r="U13" s="2">
        <v>3476</v>
      </c>
      <c r="V13" s="2">
        <f t="shared" si="4"/>
        <v>573.0164806267804</v>
      </c>
      <c r="W13" s="2">
        <f t="shared" si="5"/>
        <v>618.0795739583725</v>
      </c>
      <c r="X13" s="12">
        <f t="shared" si="10"/>
        <v>0.17781345625960085</v>
      </c>
      <c r="Y13" s="2">
        <f t="shared" si="6"/>
        <v>653.9663640842488</v>
      </c>
      <c r="Z13" s="2">
        <f t="shared" si="11"/>
        <v>1.1194</v>
      </c>
      <c r="AA13" s="2">
        <f t="shared" si="7"/>
        <v>2.2388</v>
      </c>
      <c r="AB13" s="1">
        <f t="shared" si="12"/>
        <v>0.8345055471756597</v>
      </c>
      <c r="AC13" s="1">
        <f t="shared" si="8"/>
        <v>0.900132632311107</v>
      </c>
      <c r="AD13" s="1">
        <f t="shared" si="9"/>
        <v>0.9523959204413449</v>
      </c>
    </row>
    <row r="14" spans="1:30" ht="12.75">
      <c r="A14" s="6" t="s">
        <v>59</v>
      </c>
      <c r="B14" s="15">
        <v>400</v>
      </c>
      <c r="C14" s="15">
        <f t="shared" si="13"/>
        <v>15.748031496062993</v>
      </c>
      <c r="D14" s="7">
        <v>8</v>
      </c>
      <c r="E14" s="7">
        <v>1</v>
      </c>
      <c r="F14" s="7"/>
      <c r="G14" s="7"/>
      <c r="H14" s="7"/>
      <c r="I14" s="7">
        <v>52</v>
      </c>
      <c r="J14" s="7">
        <v>5080</v>
      </c>
      <c r="K14" s="15">
        <f t="shared" si="14"/>
        <v>635</v>
      </c>
      <c r="L14" s="16">
        <f t="shared" si="15"/>
        <v>0.08188976377952756</v>
      </c>
      <c r="M14" s="15">
        <f t="shared" si="0"/>
        <v>4.913385826771654</v>
      </c>
      <c r="N14" s="15">
        <f t="shared" si="0"/>
        <v>294.8031496062992</v>
      </c>
      <c r="O14" s="8">
        <f t="shared" si="1"/>
        <v>0.29</v>
      </c>
      <c r="P14" s="8">
        <f t="shared" si="2"/>
        <v>0.48299999999999993</v>
      </c>
      <c r="Q14" s="8">
        <f t="shared" si="3"/>
        <v>40.3225</v>
      </c>
      <c r="R14" s="8" t="str">
        <f>LOOKUP(Q14,'Useful Mags'!L$2:M$8)</f>
        <v>Very high</v>
      </c>
      <c r="S14" s="8" t="str">
        <f>LOOKUP(Q14,'Useful Mags'!N$2:O$8)</f>
        <v>Specific planetary lunar detail</v>
      </c>
      <c r="T14" t="s">
        <v>15</v>
      </c>
      <c r="U14" s="2">
        <v>3476</v>
      </c>
      <c r="V14" s="2">
        <f t="shared" si="4"/>
        <v>509.3478906545334</v>
      </c>
      <c r="W14" s="2">
        <f t="shared" si="5"/>
        <v>549.403966371079</v>
      </c>
      <c r="X14" s="12">
        <f t="shared" si="10"/>
        <v>0.1580563769767201</v>
      </c>
      <c r="Y14" s="2">
        <f t="shared" si="6"/>
        <v>581.303329602278</v>
      </c>
      <c r="Z14" s="2">
        <f t="shared" si="11"/>
        <v>1.1194</v>
      </c>
      <c r="AA14" s="2">
        <f t="shared" si="7"/>
        <v>2.2388</v>
      </c>
      <c r="AB14" s="1">
        <f t="shared" si="12"/>
        <v>0.8345055471756597</v>
      </c>
      <c r="AC14" s="1">
        <f t="shared" si="8"/>
        <v>0.900132632311107</v>
      </c>
      <c r="AD14" s="1">
        <f t="shared" si="9"/>
        <v>0.9523959204413449</v>
      </c>
    </row>
    <row r="15" spans="1:30" ht="12.75">
      <c r="A15" s="6" t="s">
        <v>59</v>
      </c>
      <c r="B15" s="15">
        <v>400</v>
      </c>
      <c r="C15" s="15">
        <f t="shared" si="13"/>
        <v>15.748031496062993</v>
      </c>
      <c r="D15" s="7">
        <v>15</v>
      </c>
      <c r="E15" s="7">
        <v>2</v>
      </c>
      <c r="F15" s="7"/>
      <c r="G15" s="7"/>
      <c r="H15" s="7"/>
      <c r="I15" s="7">
        <v>52</v>
      </c>
      <c r="J15" s="7">
        <v>5080</v>
      </c>
      <c r="K15" s="15">
        <f t="shared" si="14"/>
        <v>677.3333333333334</v>
      </c>
      <c r="L15" s="16">
        <f t="shared" si="15"/>
        <v>0.07677165354330709</v>
      </c>
      <c r="M15" s="15">
        <f t="shared" si="0"/>
        <v>4.606299212598425</v>
      </c>
      <c r="N15" s="15">
        <f t="shared" si="0"/>
        <v>276.3779527559055</v>
      </c>
      <c r="O15" s="8">
        <f t="shared" si="1"/>
        <v>0.29</v>
      </c>
      <c r="P15" s="8">
        <f t="shared" si="2"/>
        <v>0.48299999999999993</v>
      </c>
      <c r="Q15" s="8">
        <f t="shared" si="3"/>
        <v>43.010666666666665</v>
      </c>
      <c r="R15" s="8" t="str">
        <f>LOOKUP(Q15,'Useful Mags'!L$2:M$8)</f>
        <v>Extreme</v>
      </c>
      <c r="S15" s="8" t="str">
        <f>LOOKUP(Q15,'Useful Mags'!N$2:O$8)</f>
        <v>Double stars</v>
      </c>
      <c r="U15" s="2">
        <v>3476</v>
      </c>
      <c r="V15" s="2">
        <f t="shared" si="4"/>
        <v>477.5136081154349</v>
      </c>
      <c r="W15" s="2">
        <f t="shared" si="5"/>
        <v>515.0661760033148</v>
      </c>
      <c r="X15" s="12">
        <f t="shared" si="10"/>
        <v>0.14817784119773153</v>
      </c>
      <c r="Y15" s="2">
        <f t="shared" si="6"/>
        <v>544.9718265667055</v>
      </c>
      <c r="Z15" s="2">
        <f t="shared" si="11"/>
        <v>1.1194</v>
      </c>
      <c r="AA15" s="2">
        <f t="shared" si="7"/>
        <v>2.2388</v>
      </c>
      <c r="AB15" s="1">
        <f t="shared" si="12"/>
        <v>0.8345055471756597</v>
      </c>
      <c r="AC15" s="1">
        <f t="shared" si="8"/>
        <v>0.900132632311107</v>
      </c>
      <c r="AD15" s="1">
        <f t="shared" si="9"/>
        <v>0.9523959204413449</v>
      </c>
    </row>
    <row r="16" spans="1:30" ht="12.75">
      <c r="A16" s="6" t="s">
        <v>59</v>
      </c>
      <c r="B16" s="15">
        <v>400</v>
      </c>
      <c r="C16" s="15">
        <f t="shared" si="13"/>
        <v>15.748031496062993</v>
      </c>
      <c r="D16" s="7">
        <v>20</v>
      </c>
      <c r="E16" s="7">
        <v>3</v>
      </c>
      <c r="F16" s="7"/>
      <c r="G16" s="7"/>
      <c r="H16" s="7"/>
      <c r="I16" s="7">
        <v>52</v>
      </c>
      <c r="J16" s="7">
        <v>5080</v>
      </c>
      <c r="K16" s="15">
        <f t="shared" si="14"/>
        <v>762</v>
      </c>
      <c r="L16" s="16">
        <f t="shared" si="15"/>
        <v>0.06824146981627296</v>
      </c>
      <c r="M16" s="15">
        <f t="shared" si="0"/>
        <v>4.094488188976378</v>
      </c>
      <c r="N16" s="15">
        <f t="shared" si="0"/>
        <v>245.66929133858267</v>
      </c>
      <c r="O16" s="8">
        <f t="shared" si="1"/>
        <v>0.29</v>
      </c>
      <c r="P16" s="8">
        <f t="shared" si="2"/>
        <v>0.48299999999999993</v>
      </c>
      <c r="Q16" s="8">
        <f t="shared" si="3"/>
        <v>48.387</v>
      </c>
      <c r="R16" s="8" t="str">
        <f>LOOKUP(Q16,'Useful Mags'!L$2:M$8)</f>
        <v>Extreme</v>
      </c>
      <c r="S16" s="8" t="str">
        <f>LOOKUP(Q16,'Useful Mags'!N$2:O$8)</f>
        <v>Double stars</v>
      </c>
      <c r="U16" s="2">
        <v>3476</v>
      </c>
      <c r="V16" s="2">
        <f t="shared" si="4"/>
        <v>424.4564872341049</v>
      </c>
      <c r="W16" s="2">
        <f t="shared" si="5"/>
        <v>457.8365433862565</v>
      </c>
      <c r="X16" s="12">
        <f t="shared" si="10"/>
        <v>0.13171362007659854</v>
      </c>
      <c r="Y16" s="2">
        <f t="shared" si="6"/>
        <v>484.41934054817295</v>
      </c>
      <c r="Z16" s="2">
        <f t="shared" si="11"/>
        <v>1.1194</v>
      </c>
      <c r="AA16" s="2">
        <f t="shared" si="7"/>
        <v>2.2388</v>
      </c>
      <c r="AB16" s="1">
        <f t="shared" si="12"/>
        <v>0.8345055471756597</v>
      </c>
      <c r="AC16" s="1">
        <f t="shared" si="8"/>
        <v>0.900132632311107</v>
      </c>
      <c r="AD16" s="1">
        <f t="shared" si="9"/>
        <v>0.9523959204413449</v>
      </c>
    </row>
    <row r="17" spans="1:30" ht="12.75">
      <c r="A17" s="6" t="s">
        <v>59</v>
      </c>
      <c r="B17" s="15">
        <v>400</v>
      </c>
      <c r="C17" s="15">
        <f t="shared" si="13"/>
        <v>15.748031496062993</v>
      </c>
      <c r="D17" s="7">
        <v>12</v>
      </c>
      <c r="E17" s="7">
        <v>2</v>
      </c>
      <c r="F17" s="7">
        <v>7</v>
      </c>
      <c r="G17" s="7">
        <f>+(F17/2)/D17</f>
        <v>0.2916666666666667</v>
      </c>
      <c r="H17" s="7">
        <f>+G17*PI()/2</f>
        <v>0.45814892864851153</v>
      </c>
      <c r="I17" s="7">
        <f>2*DEGREES(H17)</f>
        <v>52.50000000000001</v>
      </c>
      <c r="J17" s="7">
        <v>5080</v>
      </c>
      <c r="K17" s="15">
        <f t="shared" si="14"/>
        <v>846.6666666666666</v>
      </c>
      <c r="L17" s="16">
        <f t="shared" si="15"/>
        <v>0.06200787401574804</v>
      </c>
      <c r="M17" s="15">
        <f t="shared" si="0"/>
        <v>3.7204724409448824</v>
      </c>
      <c r="N17" s="15">
        <f t="shared" si="0"/>
        <v>223.22834645669295</v>
      </c>
      <c r="O17" s="8">
        <f t="shared" si="1"/>
        <v>0.29</v>
      </c>
      <c r="P17" s="8">
        <f t="shared" si="2"/>
        <v>0.48299999999999993</v>
      </c>
      <c r="Q17" s="8">
        <f t="shared" si="3"/>
        <v>53.76333333333333</v>
      </c>
      <c r="R17" s="8" t="str">
        <f>LOOKUP(Q17,'Useful Mags'!L$2:M$8)</f>
        <v>Extreme</v>
      </c>
      <c r="S17" s="8" t="str">
        <f>LOOKUP(Q17,'Useful Mags'!N$2:O$8)</f>
        <v>Double stars</v>
      </c>
      <c r="T17" t="s">
        <v>13</v>
      </c>
      <c r="U17" s="2">
        <v>3476</v>
      </c>
      <c r="V17" s="2">
        <f t="shared" si="4"/>
        <v>385.6839878537031</v>
      </c>
      <c r="W17" s="2">
        <f t="shared" si="5"/>
        <v>416.01490176064914</v>
      </c>
      <c r="X17" s="12">
        <f t="shared" si="10"/>
        <v>0.11968207760663094</v>
      </c>
      <c r="Y17" s="2">
        <f t="shared" si="6"/>
        <v>440.1694606520046</v>
      </c>
      <c r="Z17" s="2">
        <f t="shared" si="11"/>
        <v>1.1194</v>
      </c>
      <c r="AA17" s="2">
        <f t="shared" si="7"/>
        <v>2.2388</v>
      </c>
      <c r="AB17" s="1">
        <f t="shared" si="12"/>
        <v>0.8345055471756597</v>
      </c>
      <c r="AC17" s="1">
        <f t="shared" si="8"/>
        <v>0.900132632311107</v>
      </c>
      <c r="AD17" s="1">
        <f t="shared" si="9"/>
        <v>0.9523959204413449</v>
      </c>
    </row>
    <row r="18" spans="1:30" ht="12.75">
      <c r="A18" s="6" t="s">
        <v>59</v>
      </c>
      <c r="B18" s="15">
        <v>400</v>
      </c>
      <c r="C18" s="15">
        <f t="shared" si="13"/>
        <v>15.748031496062993</v>
      </c>
      <c r="D18" s="7">
        <v>6</v>
      </c>
      <c r="E18" s="7">
        <v>1</v>
      </c>
      <c r="F18" s="7"/>
      <c r="G18" s="7"/>
      <c r="H18" s="7"/>
      <c r="I18" s="7">
        <v>52</v>
      </c>
      <c r="J18" s="7">
        <v>5080</v>
      </c>
      <c r="K18" s="15">
        <f t="shared" si="14"/>
        <v>846.6666666666666</v>
      </c>
      <c r="L18" s="16">
        <f t="shared" si="15"/>
        <v>0.061417322834645675</v>
      </c>
      <c r="M18" s="15">
        <f t="shared" si="0"/>
        <v>3.6850393700787407</v>
      </c>
      <c r="N18" s="15">
        <f t="shared" si="0"/>
        <v>221.10236220472444</v>
      </c>
      <c r="O18" s="8">
        <f t="shared" si="1"/>
        <v>0.29</v>
      </c>
      <c r="P18" s="8">
        <f t="shared" si="2"/>
        <v>0.48299999999999993</v>
      </c>
      <c r="Q18" s="8">
        <f t="shared" si="3"/>
        <v>53.76333333333333</v>
      </c>
      <c r="R18" s="8" t="str">
        <f>LOOKUP(Q18,'Useful Mags'!L$2:M$8)</f>
        <v>Extreme</v>
      </c>
      <c r="S18" s="8" t="str">
        <f>LOOKUP(Q18,'Useful Mags'!N$2:O$8)</f>
        <v>Double stars</v>
      </c>
      <c r="U18" s="2">
        <v>3476</v>
      </c>
      <c r="V18" s="2">
        <f t="shared" si="4"/>
        <v>382.0108041897088</v>
      </c>
      <c r="W18" s="2">
        <f t="shared" si="5"/>
        <v>412.0528520275784</v>
      </c>
      <c r="X18" s="12">
        <f t="shared" si="10"/>
        <v>0.11854224741875098</v>
      </c>
      <c r="Y18" s="2">
        <f t="shared" si="6"/>
        <v>435.9773673238537</v>
      </c>
      <c r="Z18" s="2">
        <f t="shared" si="11"/>
        <v>1.1194</v>
      </c>
      <c r="AA18" s="2">
        <f t="shared" si="7"/>
        <v>2.2388</v>
      </c>
      <c r="AB18" s="1">
        <f t="shared" si="12"/>
        <v>0.8345055471756597</v>
      </c>
      <c r="AC18" s="1">
        <f t="shared" si="8"/>
        <v>0.900132632311107</v>
      </c>
      <c r="AD18" s="1">
        <f t="shared" si="9"/>
        <v>0.9523959204413449</v>
      </c>
    </row>
    <row r="19" spans="1:30" ht="12.75">
      <c r="A19" s="6" t="s">
        <v>59</v>
      </c>
      <c r="B19" s="15">
        <v>400</v>
      </c>
      <c r="C19" s="15">
        <f t="shared" si="13"/>
        <v>15.748031496062993</v>
      </c>
      <c r="D19" s="7">
        <v>12</v>
      </c>
      <c r="E19" s="7">
        <v>2</v>
      </c>
      <c r="F19" s="7">
        <v>6</v>
      </c>
      <c r="G19" s="7">
        <f>+(F19/2)/D19</f>
        <v>0.25</v>
      </c>
      <c r="H19" s="7">
        <f>+G19*PI()/2</f>
        <v>0.39269908169872414</v>
      </c>
      <c r="I19" s="7">
        <f>2*DEGREES(H19)</f>
        <v>45</v>
      </c>
      <c r="J19" s="7">
        <v>5080</v>
      </c>
      <c r="K19" s="15">
        <f t="shared" si="14"/>
        <v>846.6666666666666</v>
      </c>
      <c r="L19" s="16">
        <f t="shared" si="15"/>
        <v>0.0531496062992126</v>
      </c>
      <c r="M19" s="15">
        <f t="shared" si="0"/>
        <v>3.188976377952756</v>
      </c>
      <c r="N19" s="15">
        <f t="shared" si="0"/>
        <v>191.33858267716536</v>
      </c>
      <c r="O19" s="8">
        <f t="shared" si="1"/>
        <v>0.29</v>
      </c>
      <c r="P19" s="8">
        <f t="shared" si="2"/>
        <v>0.48299999999999993</v>
      </c>
      <c r="Q19" s="8">
        <f t="shared" si="3"/>
        <v>53.76333333333333</v>
      </c>
      <c r="R19" s="8" t="str">
        <f>LOOKUP(Q19,'Useful Mags'!L$2:M$8)</f>
        <v>Extreme</v>
      </c>
      <c r="S19" s="8" t="str">
        <f>LOOKUP(Q19,'Useful Mags'!N$2:O$8)</f>
        <v>Double stars</v>
      </c>
      <c r="T19" t="s">
        <v>6</v>
      </c>
      <c r="U19" s="2">
        <v>3476</v>
      </c>
      <c r="V19" s="2">
        <f t="shared" si="4"/>
        <v>330.5862410611493</v>
      </c>
      <c r="W19" s="2">
        <f t="shared" si="5"/>
        <v>356.5841645742458</v>
      </c>
      <c r="X19" s="12">
        <f t="shared" si="10"/>
        <v>0.10258462732285552</v>
      </c>
      <c r="Y19" s="2">
        <f t="shared" si="6"/>
        <v>377.28807005090323</v>
      </c>
      <c r="Z19" s="2">
        <f t="shared" si="11"/>
        <v>1.1194</v>
      </c>
      <c r="AA19" s="2">
        <f t="shared" si="7"/>
        <v>2.2388</v>
      </c>
      <c r="AB19" s="1">
        <f t="shared" si="12"/>
        <v>0.8345055471756597</v>
      </c>
      <c r="AC19" s="1">
        <f t="shared" si="8"/>
        <v>0.900132632311107</v>
      </c>
      <c r="AD19" s="1">
        <f t="shared" si="9"/>
        <v>0.9523959204413449</v>
      </c>
    </row>
    <row r="20" spans="1:30" ht="12.75">
      <c r="A20" s="6" t="s">
        <v>59</v>
      </c>
      <c r="B20" s="15">
        <v>400</v>
      </c>
      <c r="C20" s="15">
        <f t="shared" si="13"/>
        <v>15.748031496062993</v>
      </c>
      <c r="D20" s="7">
        <v>15</v>
      </c>
      <c r="E20" s="7">
        <v>3</v>
      </c>
      <c r="F20" s="7"/>
      <c r="G20" s="7"/>
      <c r="H20" s="7"/>
      <c r="I20" s="7">
        <v>52</v>
      </c>
      <c r="J20" s="7">
        <v>5080</v>
      </c>
      <c r="K20" s="15">
        <f t="shared" si="14"/>
        <v>1016</v>
      </c>
      <c r="L20" s="16">
        <f t="shared" si="15"/>
        <v>0.051181102362204724</v>
      </c>
      <c r="M20" s="15">
        <f t="shared" si="0"/>
        <v>3.0708661417322833</v>
      </c>
      <c r="N20" s="15">
        <f t="shared" si="0"/>
        <v>184.251968503937</v>
      </c>
      <c r="O20" s="8">
        <f t="shared" si="1"/>
        <v>0.29</v>
      </c>
      <c r="P20" s="8">
        <f t="shared" si="2"/>
        <v>0.48299999999999993</v>
      </c>
      <c r="Q20" s="8">
        <f t="shared" si="3"/>
        <v>64.51599999999999</v>
      </c>
      <c r="R20" s="8" t="str">
        <f>LOOKUP(Q20,'Useful Mags'!L$2:M$8)</f>
        <v>Extreme</v>
      </c>
      <c r="S20" s="8" t="str">
        <f>LOOKUP(Q20,'Useful Mags'!N$2:O$8)</f>
        <v>Double stars</v>
      </c>
      <c r="U20" s="2">
        <v>3476</v>
      </c>
      <c r="V20" s="2">
        <f t="shared" si="4"/>
        <v>318.3422995684334</v>
      </c>
      <c r="W20" s="2">
        <f t="shared" si="5"/>
        <v>343.37733650341744</v>
      </c>
      <c r="X20" s="12">
        <f t="shared" si="10"/>
        <v>0.09878519462123632</v>
      </c>
      <c r="Y20" s="2">
        <f t="shared" si="6"/>
        <v>363.3144302503634</v>
      </c>
      <c r="Z20" s="2">
        <f t="shared" si="11"/>
        <v>1.1194</v>
      </c>
      <c r="AA20" s="2">
        <f t="shared" si="7"/>
        <v>2.2388</v>
      </c>
      <c r="AB20" s="1">
        <f t="shared" si="12"/>
        <v>0.8345055471756597</v>
      </c>
      <c r="AC20" s="1">
        <f t="shared" si="8"/>
        <v>0.900132632311107</v>
      </c>
      <c r="AD20" s="1">
        <f t="shared" si="9"/>
        <v>0.9523959204413449</v>
      </c>
    </row>
    <row r="21" spans="1:30" ht="12.75">
      <c r="A21" s="6" t="s">
        <v>59</v>
      </c>
      <c r="B21" s="15">
        <v>400</v>
      </c>
      <c r="C21" s="15">
        <f t="shared" si="13"/>
        <v>15.748031496062993</v>
      </c>
      <c r="D21" s="7">
        <v>9</v>
      </c>
      <c r="E21" s="7">
        <v>2</v>
      </c>
      <c r="F21" s="7"/>
      <c r="G21" s="7"/>
      <c r="H21" s="7"/>
      <c r="I21" s="7">
        <v>52</v>
      </c>
      <c r="J21" s="7">
        <v>5080</v>
      </c>
      <c r="K21" s="15">
        <f t="shared" si="14"/>
        <v>1128.888888888889</v>
      </c>
      <c r="L21" s="16">
        <f t="shared" si="15"/>
        <v>0.04606299212598425</v>
      </c>
      <c r="M21" s="15">
        <f t="shared" si="0"/>
        <v>2.7637795275590546</v>
      </c>
      <c r="N21" s="15">
        <f t="shared" si="0"/>
        <v>165.8267716535433</v>
      </c>
      <c r="O21" s="8">
        <f t="shared" si="1"/>
        <v>0.29</v>
      </c>
      <c r="P21" s="8">
        <f t="shared" si="2"/>
        <v>0.48299999999999993</v>
      </c>
      <c r="Q21" s="8">
        <f t="shared" si="3"/>
        <v>71.68444444444444</v>
      </c>
      <c r="R21" s="8" t="str">
        <f>LOOKUP(Q21,'Useful Mags'!L$2:M$8)</f>
        <v>Extreme</v>
      </c>
      <c r="S21" s="8" t="str">
        <f>LOOKUP(Q21,'Useful Mags'!N$2:O$8)</f>
        <v>Double stars</v>
      </c>
      <c r="U21" s="2">
        <v>3476</v>
      </c>
      <c r="V21" s="2">
        <f t="shared" si="4"/>
        <v>286.5080551324308</v>
      </c>
      <c r="W21" s="2">
        <f t="shared" si="5"/>
        <v>309.03958723524806</v>
      </c>
      <c r="X21" s="12">
        <f t="shared" si="10"/>
        <v>0.08890667066606676</v>
      </c>
      <c r="Y21" s="2">
        <f t="shared" si="6"/>
        <v>326.9829707007008</v>
      </c>
      <c r="Z21" s="2">
        <f t="shared" si="11"/>
        <v>1.1194</v>
      </c>
      <c r="AA21" s="2">
        <f t="shared" si="7"/>
        <v>2.2388</v>
      </c>
      <c r="AB21" s="1">
        <f t="shared" si="12"/>
        <v>0.8345055471756597</v>
      </c>
      <c r="AC21" s="1">
        <f t="shared" si="8"/>
        <v>0.900132632311107</v>
      </c>
      <c r="AD21" s="1">
        <f t="shared" si="9"/>
        <v>0.9523959204413449</v>
      </c>
    </row>
    <row r="22" spans="1:30" ht="12.75">
      <c r="A22" s="6" t="s">
        <v>59</v>
      </c>
      <c r="B22" s="15">
        <v>400</v>
      </c>
      <c r="C22" s="15">
        <f t="shared" si="13"/>
        <v>15.748031496062993</v>
      </c>
      <c r="D22" s="7">
        <v>12</v>
      </c>
      <c r="E22" s="7">
        <v>3</v>
      </c>
      <c r="F22" s="7">
        <v>7</v>
      </c>
      <c r="G22" s="7">
        <f>+(F22/2)/D22</f>
        <v>0.2916666666666667</v>
      </c>
      <c r="H22" s="7">
        <f>+G22*PI()/2</f>
        <v>0.45814892864851153</v>
      </c>
      <c r="I22" s="7">
        <f>2*DEGREES(H22)</f>
        <v>52.50000000000001</v>
      </c>
      <c r="J22" s="7">
        <v>5080</v>
      </c>
      <c r="K22" s="15">
        <f t="shared" si="14"/>
        <v>1270</v>
      </c>
      <c r="L22" s="16">
        <f t="shared" si="15"/>
        <v>0.04133858267716536</v>
      </c>
      <c r="M22" s="15">
        <f t="shared" si="0"/>
        <v>2.4803149606299213</v>
      </c>
      <c r="N22" s="15">
        <f t="shared" si="0"/>
        <v>148.8188976377953</v>
      </c>
      <c r="O22" s="8">
        <f t="shared" si="1"/>
        <v>0.29</v>
      </c>
      <c r="P22" s="8">
        <f t="shared" si="2"/>
        <v>0.48299999999999993</v>
      </c>
      <c r="Q22" s="8">
        <f t="shared" si="3"/>
        <v>80.645</v>
      </c>
      <c r="R22" s="8" t="str">
        <f>LOOKUP(Q22,'Useful Mags'!L$2:M$8)</f>
        <v>Empty</v>
      </c>
      <c r="S22" s="8" t="str">
        <f>LOOKUP(Q22,'Useful Mags'!N$2:O$8)</f>
        <v>Nearly useless</v>
      </c>
      <c r="T22" t="s">
        <v>13</v>
      </c>
      <c r="U22" s="2">
        <v>3476</v>
      </c>
      <c r="V22" s="2">
        <f t="shared" si="4"/>
        <v>257.12260279984326</v>
      </c>
      <c r="W22" s="2">
        <f t="shared" si="5"/>
        <v>277.3432076853386</v>
      </c>
      <c r="X22" s="12">
        <f t="shared" si="10"/>
        <v>0.0797880344319156</v>
      </c>
      <c r="Y22" s="2">
        <f t="shared" si="6"/>
        <v>293.4462434535314</v>
      </c>
      <c r="Z22" s="2">
        <f t="shared" si="11"/>
        <v>1.1194</v>
      </c>
      <c r="AA22" s="2">
        <f t="shared" si="7"/>
        <v>2.2388</v>
      </c>
      <c r="AB22" s="1">
        <f t="shared" si="12"/>
        <v>0.8345055471756597</v>
      </c>
      <c r="AC22" s="1">
        <f t="shared" si="8"/>
        <v>0.900132632311107</v>
      </c>
      <c r="AD22" s="1">
        <f t="shared" si="9"/>
        <v>0.9523959204413449</v>
      </c>
    </row>
    <row r="23" spans="1:30" ht="12.75">
      <c r="A23" s="6" t="s">
        <v>59</v>
      </c>
      <c r="B23" s="15">
        <v>400</v>
      </c>
      <c r="C23" s="15">
        <f t="shared" si="13"/>
        <v>15.748031496062993</v>
      </c>
      <c r="D23" s="7">
        <v>4</v>
      </c>
      <c r="E23" s="7">
        <v>1</v>
      </c>
      <c r="F23" s="7"/>
      <c r="G23" s="7"/>
      <c r="H23" s="7"/>
      <c r="I23" s="7">
        <v>52</v>
      </c>
      <c r="J23" s="7">
        <v>5080</v>
      </c>
      <c r="K23" s="15">
        <f t="shared" si="14"/>
        <v>1270</v>
      </c>
      <c r="L23" s="16">
        <f t="shared" si="15"/>
        <v>0.04094488188976378</v>
      </c>
      <c r="M23" s="15">
        <f t="shared" si="0"/>
        <v>2.456692913385827</v>
      </c>
      <c r="N23" s="15">
        <f t="shared" si="0"/>
        <v>147.4015748031496</v>
      </c>
      <c r="O23" s="8">
        <f t="shared" si="1"/>
        <v>0.29</v>
      </c>
      <c r="P23" s="8">
        <f t="shared" si="2"/>
        <v>0.48299999999999993</v>
      </c>
      <c r="Q23" s="8">
        <f t="shared" si="3"/>
        <v>80.645</v>
      </c>
      <c r="R23" s="8" t="str">
        <f>LOOKUP(Q23,'Useful Mags'!L$2:M$8)</f>
        <v>Empty</v>
      </c>
      <c r="S23" s="8" t="str">
        <f>LOOKUP(Q23,'Useful Mags'!N$2:O$8)</f>
        <v>Nearly useless</v>
      </c>
      <c r="U23" s="2">
        <v>3476</v>
      </c>
      <c r="V23" s="2">
        <f t="shared" si="4"/>
        <v>254.6738152687955</v>
      </c>
      <c r="W23" s="2">
        <f t="shared" si="5"/>
        <v>274.7018428990256</v>
      </c>
      <c r="X23" s="12">
        <f t="shared" si="10"/>
        <v>0.0790281481297542</v>
      </c>
      <c r="Y23" s="2">
        <f t="shared" si="6"/>
        <v>290.6515163693427</v>
      </c>
      <c r="Z23" s="2">
        <f t="shared" si="11"/>
        <v>1.1194</v>
      </c>
      <c r="AA23" s="2">
        <f t="shared" si="7"/>
        <v>2.2388</v>
      </c>
      <c r="AB23" s="1">
        <f t="shared" si="12"/>
        <v>0.8345055471756597</v>
      </c>
      <c r="AC23" s="1">
        <f t="shared" si="8"/>
        <v>0.900132632311107</v>
      </c>
      <c r="AD23" s="1">
        <f t="shared" si="9"/>
        <v>0.9523959204413449</v>
      </c>
    </row>
    <row r="24" spans="1:30" ht="12.75">
      <c r="A24" s="6" t="s">
        <v>59</v>
      </c>
      <c r="B24" s="15">
        <v>400</v>
      </c>
      <c r="C24" s="15">
        <f t="shared" si="13"/>
        <v>15.748031496062993</v>
      </c>
      <c r="D24" s="7">
        <v>8</v>
      </c>
      <c r="E24" s="7">
        <v>2</v>
      </c>
      <c r="F24" s="7"/>
      <c r="G24" s="7"/>
      <c r="H24" s="7"/>
      <c r="I24" s="7">
        <v>52</v>
      </c>
      <c r="J24" s="7">
        <v>5080</v>
      </c>
      <c r="K24" s="15">
        <f t="shared" si="14"/>
        <v>1270</v>
      </c>
      <c r="L24" s="16">
        <f t="shared" si="15"/>
        <v>0.04094488188976378</v>
      </c>
      <c r="M24" s="15">
        <f t="shared" si="0"/>
        <v>2.456692913385827</v>
      </c>
      <c r="N24" s="15">
        <f t="shared" si="0"/>
        <v>147.4015748031496</v>
      </c>
      <c r="O24" s="8">
        <f t="shared" si="1"/>
        <v>0.29</v>
      </c>
      <c r="P24" s="8">
        <f t="shared" si="2"/>
        <v>0.48299999999999993</v>
      </c>
      <c r="Q24" s="8">
        <f t="shared" si="3"/>
        <v>80.645</v>
      </c>
      <c r="R24" s="8" t="str">
        <f>LOOKUP(Q24,'Useful Mags'!L$2:M$8)</f>
        <v>Empty</v>
      </c>
      <c r="S24" s="8" t="str">
        <f>LOOKUP(Q24,'Useful Mags'!N$2:O$8)</f>
        <v>Nearly useless</v>
      </c>
      <c r="T24" t="s">
        <v>15</v>
      </c>
      <c r="U24" s="2">
        <v>3476</v>
      </c>
      <c r="V24" s="2">
        <f t="shared" si="4"/>
        <v>254.6738152687955</v>
      </c>
      <c r="W24" s="2">
        <f t="shared" si="5"/>
        <v>274.7018428990256</v>
      </c>
      <c r="X24" s="12">
        <f t="shared" si="10"/>
        <v>0.0790281481297542</v>
      </c>
      <c r="Y24" s="2">
        <f t="shared" si="6"/>
        <v>290.6515163693427</v>
      </c>
      <c r="Z24" s="2">
        <f t="shared" si="11"/>
        <v>1.1194</v>
      </c>
      <c r="AA24" s="2">
        <f t="shared" si="7"/>
        <v>2.2388</v>
      </c>
      <c r="AB24" s="1">
        <f t="shared" si="12"/>
        <v>0.8345055471756597</v>
      </c>
      <c r="AC24" s="1">
        <f t="shared" si="8"/>
        <v>0.900132632311107</v>
      </c>
      <c r="AD24" s="1">
        <f t="shared" si="9"/>
        <v>0.9523959204413449</v>
      </c>
    </row>
    <row r="25" spans="1:30" ht="12.75">
      <c r="A25" s="6" t="s">
        <v>59</v>
      </c>
      <c r="B25" s="15">
        <v>400</v>
      </c>
      <c r="C25" s="15">
        <f t="shared" si="13"/>
        <v>15.748031496062993</v>
      </c>
      <c r="D25" s="7">
        <v>12</v>
      </c>
      <c r="E25" s="7">
        <v>3</v>
      </c>
      <c r="F25" s="7">
        <v>6</v>
      </c>
      <c r="G25" s="7">
        <f>+(F25/2)/D25</f>
        <v>0.25</v>
      </c>
      <c r="H25" s="7">
        <f>+G25*PI()/2</f>
        <v>0.39269908169872414</v>
      </c>
      <c r="I25" s="7">
        <f>2*DEGREES(H25)</f>
        <v>45</v>
      </c>
      <c r="J25" s="7">
        <v>5080</v>
      </c>
      <c r="K25" s="15">
        <f t="shared" si="14"/>
        <v>1270</v>
      </c>
      <c r="L25" s="16">
        <f t="shared" si="15"/>
        <v>0.03543307086614173</v>
      </c>
      <c r="M25" s="15">
        <f t="shared" si="0"/>
        <v>2.1259842519685037</v>
      </c>
      <c r="N25" s="15">
        <f t="shared" si="0"/>
        <v>127.55905511811022</v>
      </c>
      <c r="O25" s="8">
        <f t="shared" si="1"/>
        <v>0.29</v>
      </c>
      <c r="P25" s="8">
        <f t="shared" si="2"/>
        <v>0.48299999999999993</v>
      </c>
      <c r="Q25" s="8">
        <f t="shared" si="3"/>
        <v>80.645</v>
      </c>
      <c r="R25" s="8" t="str">
        <f>LOOKUP(Q25,'Useful Mags'!L$2:M$8)</f>
        <v>Empty</v>
      </c>
      <c r="S25" s="8" t="str">
        <f>LOOKUP(Q25,'Useful Mags'!N$2:O$8)</f>
        <v>Nearly useless</v>
      </c>
      <c r="T25" t="s">
        <v>6</v>
      </c>
      <c r="U25" s="2">
        <v>3476</v>
      </c>
      <c r="V25" s="2">
        <f t="shared" si="4"/>
        <v>220.39079225408506</v>
      </c>
      <c r="W25" s="2">
        <f t="shared" si="5"/>
        <v>237.7227385009121</v>
      </c>
      <c r="X25" s="12">
        <f t="shared" si="10"/>
        <v>0.06838974065043502</v>
      </c>
      <c r="Y25" s="2">
        <f t="shared" si="6"/>
        <v>251.52533995252608</v>
      </c>
      <c r="Z25" s="2">
        <f t="shared" si="11"/>
        <v>1.1194</v>
      </c>
      <c r="AA25" s="2">
        <f t="shared" si="7"/>
        <v>2.2388</v>
      </c>
      <c r="AB25" s="1">
        <f t="shared" si="12"/>
        <v>0.8345055471756597</v>
      </c>
      <c r="AC25" s="1">
        <f t="shared" si="8"/>
        <v>0.900132632311107</v>
      </c>
      <c r="AD25" s="1">
        <f t="shared" si="9"/>
        <v>0.9523959204413449</v>
      </c>
    </row>
    <row r="26" spans="1:30" ht="12.75">
      <c r="A26" s="6" t="s">
        <v>59</v>
      </c>
      <c r="B26" s="15">
        <v>400</v>
      </c>
      <c r="C26" s="15">
        <f t="shared" si="13"/>
        <v>15.748031496062993</v>
      </c>
      <c r="D26" s="7">
        <v>6</v>
      </c>
      <c r="E26" s="7">
        <v>2</v>
      </c>
      <c r="F26" s="7"/>
      <c r="G26" s="7"/>
      <c r="H26" s="7"/>
      <c r="I26" s="7">
        <v>52</v>
      </c>
      <c r="J26" s="7">
        <v>5080</v>
      </c>
      <c r="K26" s="15">
        <f t="shared" si="14"/>
        <v>1693.3333333333333</v>
      </c>
      <c r="L26" s="16">
        <f t="shared" si="15"/>
        <v>0.030708661417322838</v>
      </c>
      <c r="M26" s="15">
        <f t="shared" si="0"/>
        <v>1.8425196850393704</v>
      </c>
      <c r="N26" s="15">
        <f t="shared" si="0"/>
        <v>110.55118110236222</v>
      </c>
      <c r="O26" s="8">
        <f t="shared" si="1"/>
        <v>0.29</v>
      </c>
      <c r="P26" s="8">
        <f t="shared" si="2"/>
        <v>0.48299999999999993</v>
      </c>
      <c r="Q26" s="8">
        <f t="shared" si="3"/>
        <v>107.52666666666666</v>
      </c>
      <c r="R26" s="8" t="str">
        <f>LOOKUP(Q26,'Useful Mags'!L$2:M$8)</f>
        <v>Empty</v>
      </c>
      <c r="S26" s="8" t="str">
        <f>LOOKUP(Q26,'Useful Mags'!N$2:O$8)</f>
        <v>Nearly useless</v>
      </c>
      <c r="U26" s="2">
        <v>3476</v>
      </c>
      <c r="V26" s="2">
        <f t="shared" si="4"/>
        <v>191.0053472264614</v>
      </c>
      <c r="W26" s="2">
        <f t="shared" si="5"/>
        <v>206.0263668304426</v>
      </c>
      <c r="X26" s="12">
        <f t="shared" si="10"/>
        <v>0.059271106683096264</v>
      </c>
      <c r="Y26" s="2">
        <f t="shared" si="6"/>
        <v>217.9886210422908</v>
      </c>
      <c r="Z26" s="2">
        <f t="shared" si="11"/>
        <v>1.1194</v>
      </c>
      <c r="AA26" s="2">
        <f t="shared" si="7"/>
        <v>2.2388</v>
      </c>
      <c r="AB26" s="1">
        <f t="shared" si="12"/>
        <v>0.8345055471756597</v>
      </c>
      <c r="AC26" s="1">
        <f t="shared" si="8"/>
        <v>0.900132632311107</v>
      </c>
      <c r="AD26" s="1">
        <f t="shared" si="9"/>
        <v>0.9523959204413449</v>
      </c>
    </row>
    <row r="27" spans="1:30" ht="12.75">
      <c r="A27" s="6" t="s">
        <v>59</v>
      </c>
      <c r="B27" s="15">
        <v>400</v>
      </c>
      <c r="C27" s="15">
        <f t="shared" si="13"/>
        <v>15.748031496062993</v>
      </c>
      <c r="D27" s="7">
        <v>9</v>
      </c>
      <c r="E27" s="7">
        <v>3</v>
      </c>
      <c r="F27" s="7"/>
      <c r="G27" s="7"/>
      <c r="H27" s="7"/>
      <c r="I27" s="7">
        <v>52</v>
      </c>
      <c r="J27" s="7">
        <v>5080</v>
      </c>
      <c r="K27" s="15">
        <f t="shared" si="14"/>
        <v>1693.3333333333335</v>
      </c>
      <c r="L27" s="16">
        <f t="shared" si="15"/>
        <v>0.03070866141732283</v>
      </c>
      <c r="M27" s="15">
        <f t="shared" si="0"/>
        <v>1.84251968503937</v>
      </c>
      <c r="N27" s="15">
        <f t="shared" si="0"/>
        <v>110.5511811023622</v>
      </c>
      <c r="O27" s="8">
        <f t="shared" si="1"/>
        <v>0.29</v>
      </c>
      <c r="P27" s="8">
        <f t="shared" si="2"/>
        <v>0.48299999999999993</v>
      </c>
      <c r="Q27" s="8">
        <f t="shared" si="3"/>
        <v>107.52666666666667</v>
      </c>
      <c r="R27" s="8" t="str">
        <f>LOOKUP(Q27,'Useful Mags'!L$2:M$8)</f>
        <v>Empty</v>
      </c>
      <c r="S27" s="8" t="str">
        <f>LOOKUP(Q27,'Useful Mags'!N$2:O$8)</f>
        <v>Nearly useless</v>
      </c>
      <c r="U27" s="2">
        <v>3476</v>
      </c>
      <c r="V27" s="2">
        <f t="shared" si="4"/>
        <v>191.00534722646137</v>
      </c>
      <c r="W27" s="2">
        <f t="shared" si="5"/>
        <v>206.02636683044258</v>
      </c>
      <c r="X27" s="12">
        <f t="shared" si="10"/>
        <v>0.05927110668309626</v>
      </c>
      <c r="Y27" s="2">
        <f t="shared" si="6"/>
        <v>217.98862104229076</v>
      </c>
      <c r="Z27" s="2">
        <f t="shared" si="11"/>
        <v>1.1194</v>
      </c>
      <c r="AA27" s="2">
        <f t="shared" si="7"/>
        <v>2.2388</v>
      </c>
      <c r="AB27" s="1">
        <f t="shared" si="12"/>
        <v>0.8345055471756597</v>
      </c>
      <c r="AC27" s="1">
        <f t="shared" si="8"/>
        <v>0.900132632311107</v>
      </c>
      <c r="AD27" s="1">
        <f t="shared" si="9"/>
        <v>0.9523959204413449</v>
      </c>
    </row>
    <row r="28" spans="1:30" ht="12.75">
      <c r="A28" s="6" t="s">
        <v>59</v>
      </c>
      <c r="B28" s="15">
        <v>400</v>
      </c>
      <c r="C28" s="15">
        <f t="shared" si="13"/>
        <v>15.748031496062993</v>
      </c>
      <c r="D28" s="7">
        <v>8</v>
      </c>
      <c r="E28" s="7">
        <v>3</v>
      </c>
      <c r="F28" s="7"/>
      <c r="G28" s="7"/>
      <c r="H28" s="7"/>
      <c r="I28" s="7">
        <v>52</v>
      </c>
      <c r="J28" s="7">
        <v>5080</v>
      </c>
      <c r="K28" s="15">
        <f t="shared" si="14"/>
        <v>1905</v>
      </c>
      <c r="L28" s="16">
        <f t="shared" si="15"/>
        <v>0.027296587926509186</v>
      </c>
      <c r="M28" s="15">
        <f t="shared" si="0"/>
        <v>1.6377952755905512</v>
      </c>
      <c r="N28" s="15">
        <f t="shared" si="0"/>
        <v>98.26771653543307</v>
      </c>
      <c r="O28" s="8">
        <f t="shared" si="1"/>
        <v>0.29</v>
      </c>
      <c r="P28" s="8">
        <f t="shared" si="2"/>
        <v>0.48299999999999993</v>
      </c>
      <c r="Q28" s="8">
        <f t="shared" si="3"/>
        <v>120.9675</v>
      </c>
      <c r="R28" s="8" t="str">
        <f>LOOKUP(Q28,'Useful Mags'!L$2:M$8)</f>
        <v>Empty</v>
      </c>
      <c r="S28" s="8" t="str">
        <f>LOOKUP(Q28,'Useful Mags'!N$2:O$8)</f>
        <v>Nearly useless</v>
      </c>
      <c r="T28" t="s">
        <v>15</v>
      </c>
      <c r="U28" s="2">
        <v>3476</v>
      </c>
      <c r="V28" s="2">
        <f t="shared" si="4"/>
        <v>169.78252745594062</v>
      </c>
      <c r="W28" s="2">
        <f t="shared" si="5"/>
        <v>183.13454461337366</v>
      </c>
      <c r="X28" s="12">
        <f t="shared" si="10"/>
        <v>0.052685427103962505</v>
      </c>
      <c r="Y28" s="2">
        <f t="shared" si="6"/>
        <v>193.76765925466202</v>
      </c>
      <c r="Z28" s="2">
        <f t="shared" si="11"/>
        <v>1.1194</v>
      </c>
      <c r="AA28" s="2">
        <f t="shared" si="7"/>
        <v>2.2388</v>
      </c>
      <c r="AB28" s="1">
        <f t="shared" si="12"/>
        <v>0.8345055471756597</v>
      </c>
      <c r="AC28" s="1">
        <f t="shared" si="8"/>
        <v>0.900132632311107</v>
      </c>
      <c r="AD28" s="1">
        <f t="shared" si="9"/>
        <v>0.9523959204413449</v>
      </c>
    </row>
    <row r="29" spans="1:30" ht="12.75">
      <c r="A29" s="6" t="s">
        <v>59</v>
      </c>
      <c r="B29" s="15">
        <v>400</v>
      </c>
      <c r="C29" s="15">
        <f t="shared" si="13"/>
        <v>15.748031496062993</v>
      </c>
      <c r="D29" s="7">
        <v>4</v>
      </c>
      <c r="E29" s="7">
        <v>2</v>
      </c>
      <c r="F29" s="7"/>
      <c r="G29" s="7"/>
      <c r="H29" s="7"/>
      <c r="I29" s="7">
        <v>52</v>
      </c>
      <c r="J29" s="7">
        <v>5080</v>
      </c>
      <c r="K29" s="15">
        <f t="shared" si="14"/>
        <v>2540</v>
      </c>
      <c r="L29" s="16">
        <f t="shared" si="15"/>
        <v>0.02047244094488189</v>
      </c>
      <c r="M29" s="15">
        <f t="shared" si="0"/>
        <v>1.2283464566929134</v>
      </c>
      <c r="N29" s="15">
        <f t="shared" si="0"/>
        <v>73.7007874015748</v>
      </c>
      <c r="O29" s="8">
        <f t="shared" si="1"/>
        <v>0.29</v>
      </c>
      <c r="P29" s="8">
        <f t="shared" si="2"/>
        <v>0.48299999999999993</v>
      </c>
      <c r="Q29" s="8">
        <f t="shared" si="3"/>
        <v>161.29</v>
      </c>
      <c r="R29" s="8" t="str">
        <f>LOOKUP(Q29,'Useful Mags'!L$2:M$8)</f>
        <v>Empty</v>
      </c>
      <c r="S29" s="8" t="str">
        <f>LOOKUP(Q29,'Useful Mags'!N$2:O$8)</f>
        <v>Nearly useless</v>
      </c>
      <c r="U29" s="2">
        <v>3476</v>
      </c>
      <c r="V29" s="2">
        <f t="shared" si="4"/>
        <v>127.33689137710131</v>
      </c>
      <c r="W29" s="2">
        <f t="shared" si="5"/>
        <v>137.35090391371202</v>
      </c>
      <c r="X29" s="12">
        <f t="shared" si="10"/>
        <v>0.03951406902005524</v>
      </c>
      <c r="Y29" s="2">
        <f t="shared" si="6"/>
        <v>145.32573963071104</v>
      </c>
      <c r="Z29" s="2">
        <f t="shared" si="11"/>
        <v>1.1194</v>
      </c>
      <c r="AA29" s="2">
        <f t="shared" si="7"/>
        <v>2.2388</v>
      </c>
      <c r="AB29" s="1">
        <f t="shared" si="12"/>
        <v>0.8345055471756597</v>
      </c>
      <c r="AC29" s="1">
        <f t="shared" si="8"/>
        <v>0.900132632311107</v>
      </c>
      <c r="AD29" s="1">
        <f t="shared" si="9"/>
        <v>0.9523959204413449</v>
      </c>
    </row>
    <row r="30" spans="1:30" ht="12.75">
      <c r="A30" s="6" t="s">
        <v>59</v>
      </c>
      <c r="B30" s="15">
        <v>400</v>
      </c>
      <c r="C30" s="15">
        <f t="shared" si="13"/>
        <v>15.748031496062993</v>
      </c>
      <c r="D30" s="7">
        <v>6</v>
      </c>
      <c r="E30" s="7">
        <v>3</v>
      </c>
      <c r="F30" s="7"/>
      <c r="G30" s="7"/>
      <c r="H30" s="7"/>
      <c r="I30" s="7">
        <v>52</v>
      </c>
      <c r="J30" s="7">
        <v>5080</v>
      </c>
      <c r="K30" s="15">
        <f t="shared" si="14"/>
        <v>2540</v>
      </c>
      <c r="L30" s="16">
        <f t="shared" si="15"/>
        <v>0.02047244094488189</v>
      </c>
      <c r="M30" s="15">
        <f t="shared" si="0"/>
        <v>1.2283464566929134</v>
      </c>
      <c r="N30" s="15">
        <f t="shared" si="0"/>
        <v>73.7007874015748</v>
      </c>
      <c r="O30" s="8">
        <f t="shared" si="1"/>
        <v>0.29</v>
      </c>
      <c r="P30" s="8">
        <f t="shared" si="2"/>
        <v>0.48299999999999993</v>
      </c>
      <c r="Q30" s="8">
        <f t="shared" si="3"/>
        <v>161.29</v>
      </c>
      <c r="R30" s="8" t="str">
        <f>LOOKUP(Q30,'Useful Mags'!L$2:M$8)</f>
        <v>Empty</v>
      </c>
      <c r="S30" s="8" t="str">
        <f>LOOKUP(Q30,'Useful Mags'!N$2:O$8)</f>
        <v>Nearly useless</v>
      </c>
      <c r="U30" s="2">
        <v>3476</v>
      </c>
      <c r="V30" s="2">
        <f t="shared" si="4"/>
        <v>127.33689137710131</v>
      </c>
      <c r="W30" s="2">
        <f t="shared" si="5"/>
        <v>137.35090391371202</v>
      </c>
      <c r="X30" s="12">
        <f t="shared" si="10"/>
        <v>0.03951406902005524</v>
      </c>
      <c r="Y30" s="2">
        <f t="shared" si="6"/>
        <v>145.32573963071104</v>
      </c>
      <c r="Z30" s="2">
        <f t="shared" si="11"/>
        <v>1.1194</v>
      </c>
      <c r="AA30" s="2">
        <f t="shared" si="7"/>
        <v>2.2388</v>
      </c>
      <c r="AB30" s="1">
        <f t="shared" si="12"/>
        <v>0.8345055471756597</v>
      </c>
      <c r="AC30" s="1">
        <f t="shared" si="8"/>
        <v>0.900132632311107</v>
      </c>
      <c r="AD30" s="1">
        <f t="shared" si="9"/>
        <v>0.9523959204413449</v>
      </c>
    </row>
    <row r="31" spans="1:30" ht="12.75">
      <c r="A31" s="6" t="s">
        <v>59</v>
      </c>
      <c r="B31" s="15">
        <v>400</v>
      </c>
      <c r="C31" s="15">
        <f t="shared" si="13"/>
        <v>15.748031496062993</v>
      </c>
      <c r="D31" s="7">
        <v>4</v>
      </c>
      <c r="E31" s="7">
        <v>3</v>
      </c>
      <c r="F31" s="7"/>
      <c r="G31" s="7"/>
      <c r="H31" s="7"/>
      <c r="I31" s="7">
        <v>52</v>
      </c>
      <c r="J31" s="7">
        <v>5080</v>
      </c>
      <c r="K31" s="15">
        <f t="shared" si="14"/>
        <v>3810</v>
      </c>
      <c r="L31" s="16">
        <f t="shared" si="15"/>
        <v>0.013648293963254593</v>
      </c>
      <c r="M31" s="15">
        <f t="shared" si="0"/>
        <v>0.8188976377952756</v>
      </c>
      <c r="N31" s="15">
        <f t="shared" si="0"/>
        <v>49.13385826771653</v>
      </c>
      <c r="O31" s="8">
        <f t="shared" si="1"/>
        <v>0.29</v>
      </c>
      <c r="P31" s="8">
        <f t="shared" si="2"/>
        <v>0.48299999999999993</v>
      </c>
      <c r="Q31" s="8">
        <f t="shared" si="3"/>
        <v>241.935</v>
      </c>
      <c r="R31" s="8" t="str">
        <f>LOOKUP(Q31,'Useful Mags'!L$2:M$8)</f>
        <v>Empty</v>
      </c>
      <c r="S31" s="8" t="str">
        <f>LOOKUP(Q31,'Useful Mags'!N$2:O$8)</f>
        <v>Nearly useless</v>
      </c>
      <c r="U31" s="2">
        <v>3476</v>
      </c>
      <c r="V31" s="2">
        <f t="shared" si="4"/>
        <v>84.89125891099428</v>
      </c>
      <c r="W31" s="2">
        <f t="shared" si="5"/>
        <v>91.56726711089473</v>
      </c>
      <c r="X31" s="12">
        <f t="shared" si="10"/>
        <v>0.026342712057219428</v>
      </c>
      <c r="Y31" s="2">
        <f t="shared" si="6"/>
        <v>96.88382412986206</v>
      </c>
      <c r="Z31" s="2">
        <f t="shared" si="11"/>
        <v>1.1194</v>
      </c>
      <c r="AA31" s="2">
        <f t="shared" si="7"/>
        <v>2.2388</v>
      </c>
      <c r="AB31" s="1">
        <f t="shared" si="12"/>
        <v>0.8345055471756597</v>
      </c>
      <c r="AC31" s="1">
        <f t="shared" si="8"/>
        <v>0.900132632311107</v>
      </c>
      <c r="AD31" s="1">
        <f t="shared" si="9"/>
        <v>0.9523959204413449</v>
      </c>
    </row>
  </sheetData>
  <autoFilter ref="A1:AD1"/>
  <printOptions/>
  <pageMargins left="0.26" right="0.25" top="0.43" bottom="0.34" header="0.26" footer="0.5"/>
  <pageSetup fitToHeight="1" fitToWidth="1" horizontalDpi="1200" verticalDpi="12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F1">
      <selection activeCell="M2" sqref="M2"/>
    </sheetView>
  </sheetViews>
  <sheetFormatPr defaultColWidth="9.140625" defaultRowHeight="12.75"/>
  <cols>
    <col min="1" max="1" width="18.57421875" style="1" customWidth="1"/>
    <col min="2" max="2" width="18.00390625" style="1" bestFit="1" customWidth="1"/>
    <col min="3" max="3" width="18.421875" style="1" bestFit="1" customWidth="1"/>
    <col min="4" max="4" width="18.7109375" style="1" bestFit="1" customWidth="1"/>
    <col min="5" max="5" width="22.140625" style="0" bestFit="1" customWidth="1"/>
  </cols>
  <sheetData>
    <row r="1" spans="1:15" ht="12.75">
      <c r="A1" s="9" t="s">
        <v>32</v>
      </c>
      <c r="B1" s="9" t="s">
        <v>31</v>
      </c>
      <c r="C1" s="9" t="s">
        <v>30</v>
      </c>
      <c r="D1" s="9" t="s">
        <v>29</v>
      </c>
      <c r="E1" s="10" t="s">
        <v>28</v>
      </c>
      <c r="F1" s="10" t="s">
        <v>27</v>
      </c>
      <c r="J1" s="10" t="s">
        <v>47</v>
      </c>
      <c r="L1" s="1" t="str">
        <f>+A1</f>
        <v>Low Mag Per Inch</v>
      </c>
      <c r="M1" t="str">
        <f>+E1</f>
        <v>Useful Mag Description</v>
      </c>
      <c r="N1" s="1" t="str">
        <f>+A1</f>
        <v>Low Mag Per Inch</v>
      </c>
      <c r="O1" t="str">
        <f>+F1</f>
        <v>Used For</v>
      </c>
    </row>
    <row r="2" spans="1:15" ht="12.75">
      <c r="A2" s="8">
        <v>0</v>
      </c>
      <c r="B2" s="8">
        <v>3.7</v>
      </c>
      <c r="C2" s="8" t="s">
        <v>43</v>
      </c>
      <c r="D2" s="8" t="s">
        <v>43</v>
      </c>
      <c r="E2" s="7" t="s">
        <v>44</v>
      </c>
      <c r="F2" t="s">
        <v>42</v>
      </c>
      <c r="L2" s="1">
        <f aca="true" t="shared" si="0" ref="L2:L8">+A2</f>
        <v>0</v>
      </c>
      <c r="M2" t="str">
        <f aca="true" t="shared" si="1" ref="M2:M8">+E2</f>
        <v>Very low</v>
      </c>
      <c r="N2" s="1">
        <f aca="true" t="shared" si="2" ref="N2:N8">+A2</f>
        <v>0</v>
      </c>
      <c r="O2" t="str">
        <f aca="true" t="shared" si="3" ref="O2:O8">+F2</f>
        <v>Direct projection astrophotography</v>
      </c>
    </row>
    <row r="3" spans="1:15" ht="12.75">
      <c r="A3" s="8">
        <v>3.7</v>
      </c>
      <c r="B3" s="8">
        <v>9.9</v>
      </c>
      <c r="C3" s="8">
        <v>6.9</v>
      </c>
      <c r="D3" s="8">
        <v>2.5</v>
      </c>
      <c r="E3" s="7" t="s">
        <v>22</v>
      </c>
      <c r="F3" t="s">
        <v>36</v>
      </c>
      <c r="L3" s="1">
        <f t="shared" si="0"/>
        <v>3.7</v>
      </c>
      <c r="M3" t="str">
        <f t="shared" si="1"/>
        <v>Low</v>
      </c>
      <c r="N3" s="1">
        <f t="shared" si="2"/>
        <v>3.7</v>
      </c>
      <c r="O3" t="str">
        <f t="shared" si="3"/>
        <v>Large angular size objects</v>
      </c>
    </row>
    <row r="4" spans="1:15" ht="12.75">
      <c r="A4" s="8">
        <v>10</v>
      </c>
      <c r="B4" s="8">
        <v>17.9</v>
      </c>
      <c r="C4" s="8">
        <v>2.6</v>
      </c>
      <c r="D4" s="8">
        <v>1.4</v>
      </c>
      <c r="E4" s="7" t="s">
        <v>23</v>
      </c>
      <c r="F4" t="s">
        <v>37</v>
      </c>
      <c r="L4" s="1">
        <f t="shared" si="0"/>
        <v>10</v>
      </c>
      <c r="M4" t="str">
        <f t="shared" si="1"/>
        <v>Medium</v>
      </c>
      <c r="N4" s="1">
        <f t="shared" si="2"/>
        <v>10</v>
      </c>
      <c r="O4" t="str">
        <f t="shared" si="3"/>
        <v>Small clusters and galaxies</v>
      </c>
    </row>
    <row r="5" spans="1:15" ht="12.75">
      <c r="A5" s="8">
        <v>18</v>
      </c>
      <c r="B5" s="8">
        <v>29.9</v>
      </c>
      <c r="C5" s="8">
        <v>1.3</v>
      </c>
      <c r="D5" s="8">
        <v>0.8</v>
      </c>
      <c r="E5" s="7" t="s">
        <v>24</v>
      </c>
      <c r="F5" t="s">
        <v>39</v>
      </c>
      <c r="L5" s="1">
        <f t="shared" si="0"/>
        <v>18</v>
      </c>
      <c r="M5" t="str">
        <f t="shared" si="1"/>
        <v>High</v>
      </c>
      <c r="N5" s="1">
        <f t="shared" si="2"/>
        <v>18</v>
      </c>
      <c r="O5" t="str">
        <f t="shared" si="3"/>
        <v>Planetary and lunar details</v>
      </c>
    </row>
    <row r="6" spans="1:15" ht="12.75">
      <c r="A6" s="8">
        <v>30</v>
      </c>
      <c r="B6" s="8">
        <v>41.9</v>
      </c>
      <c r="C6" s="8">
        <v>0.7</v>
      </c>
      <c r="D6" s="8">
        <v>0.6</v>
      </c>
      <c r="E6" s="7" t="s">
        <v>45</v>
      </c>
      <c r="F6" t="s">
        <v>38</v>
      </c>
      <c r="L6" s="1">
        <f t="shared" si="0"/>
        <v>30</v>
      </c>
      <c r="M6" t="str">
        <f t="shared" si="1"/>
        <v>Very high</v>
      </c>
      <c r="N6" s="1">
        <f t="shared" si="2"/>
        <v>30</v>
      </c>
      <c r="O6" t="str">
        <f t="shared" si="3"/>
        <v>Specific planetary lunar detail</v>
      </c>
    </row>
    <row r="7" spans="1:15" ht="12.75">
      <c r="A7" s="8">
        <v>42</v>
      </c>
      <c r="B7" s="8">
        <v>75</v>
      </c>
      <c r="C7" s="8">
        <v>0.5</v>
      </c>
      <c r="D7" s="8">
        <v>0.3</v>
      </c>
      <c r="E7" s="7" t="s">
        <v>25</v>
      </c>
      <c r="F7" t="s">
        <v>40</v>
      </c>
      <c r="L7" s="1">
        <f t="shared" si="0"/>
        <v>42</v>
      </c>
      <c r="M7" t="str">
        <f t="shared" si="1"/>
        <v>Extreme</v>
      </c>
      <c r="N7" s="1">
        <f t="shared" si="2"/>
        <v>42</v>
      </c>
      <c r="O7" t="str">
        <f t="shared" si="3"/>
        <v>Double stars</v>
      </c>
    </row>
    <row r="8" spans="1:15" ht="12.75">
      <c r="A8" s="8">
        <v>76</v>
      </c>
      <c r="B8" s="8">
        <v>200</v>
      </c>
      <c r="C8" s="8">
        <v>0.2</v>
      </c>
      <c r="D8" s="8">
        <v>0</v>
      </c>
      <c r="E8" s="7" t="s">
        <v>26</v>
      </c>
      <c r="F8" t="s">
        <v>41</v>
      </c>
      <c r="L8" s="1">
        <f t="shared" si="0"/>
        <v>76</v>
      </c>
      <c r="M8" t="str">
        <f t="shared" si="1"/>
        <v>Empty</v>
      </c>
      <c r="N8" s="1">
        <f t="shared" si="2"/>
        <v>76</v>
      </c>
      <c r="O8" t="str">
        <f t="shared" si="3"/>
        <v>Nearly useless</v>
      </c>
    </row>
    <row r="13" ht="12.75">
      <c r="A13" s="9" t="s">
        <v>34</v>
      </c>
    </row>
    <row r="14" ht="12.75">
      <c r="A14" s="1" t="s">
        <v>46</v>
      </c>
    </row>
    <row r="16" ht="12.75">
      <c r="A16" s="9" t="s">
        <v>33</v>
      </c>
    </row>
    <row r="17" ht="12.75">
      <c r="A17" s="1" t="s">
        <v>35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Kurt A. Fisher</cp:lastModifiedBy>
  <cp:lastPrinted>2005-03-17T21:08:33Z</cp:lastPrinted>
  <dcterms:created xsi:type="dcterms:W3CDTF">1996-10-14T23:33:28Z</dcterms:created>
  <dcterms:modified xsi:type="dcterms:W3CDTF">2005-03-17T21:08:35Z</dcterms:modified>
  <cp:category/>
  <cp:version/>
  <cp:contentType/>
  <cp:contentStatus/>
</cp:coreProperties>
</file>